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480" windowHeight="8196" activeTab="0"/>
  </bookViews>
  <sheets>
    <sheet name="calcolo diritto annuale 2023" sheetId="1" r:id="rId1"/>
  </sheets>
  <definedNames>
    <definedName name="AliqMaggiorazione" localSheetId="0">'calcolo diritto annuale 2023'!$G$14</definedName>
    <definedName name="anno">'calcolo diritto annuale 2023'!$F$24</definedName>
    <definedName name="diritto_totale">'calcolo diritto annuale 2023'!$E$80</definedName>
    <definedName name="dirittoSede_arrotondato" localSheetId="0">'calcolo diritto annuale 2023'!$E$66</definedName>
    <definedName name="dirittoSede_dec_REA">'calcolo diritto annuale 2023'!$E$55</definedName>
    <definedName name="dirittoSede_dec_sezOrd">'calcolo diritto annuale 2023'!$G$41</definedName>
    <definedName name="dirittoSede_dec_sezSpec">'calcolo diritto annuale 2023'!$E$52</definedName>
    <definedName name="DirittoSedeDecimali">'calcolo diritto annuale 2023'!$E$62</definedName>
    <definedName name="Fatturato_2009" localSheetId="0">'calcolo diritto annuale 2023'!$E$13</definedName>
    <definedName name="importoUL_decimali" localSheetId="0">'calcolo diritto annuale 2023'!$E$73</definedName>
    <definedName name="NumeroUL" localSheetId="0">'calcolo diritto annuale 2023'!$E$15</definedName>
    <definedName name="Sezione">'calcolo diritto annuale 2023'!$E$9</definedName>
    <definedName name="sigla_provincia" localSheetId="0">'calcolo diritto annuale 2023'!$E$14</definedName>
    <definedName name="tb_maggiorazioni">#REF!</definedName>
    <definedName name="TipoImpresa">'calcolo diritto annuale 2023'!$E$11</definedName>
  </definedNames>
  <calcPr fullCalcOnLoad="1"/>
</workbook>
</file>

<file path=xl/sharedStrings.xml><?xml version="1.0" encoding="utf-8"?>
<sst xmlns="http://schemas.openxmlformats.org/spreadsheetml/2006/main" count="331" uniqueCount="317">
  <si>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</si>
  <si>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</si>
  <si>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</si>
  <si>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</si>
  <si>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</si>
  <si>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</si>
  <si>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</si>
  <si>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</si>
  <si>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</si>
  <si>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</si>
  <si>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</si>
  <si>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</si>
  <si>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</si>
  <si>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</si>
  <si>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</si>
  <si>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Arrotondamento al centesimo di euro</t>
  </si>
  <si>
    <t>Arrotondamento</t>
  </si>
  <si>
    <t>Sigla PRV U.L.</t>
  </si>
  <si>
    <t>% Maggiorazione</t>
  </si>
  <si>
    <t>Num. U.L.</t>
  </si>
  <si>
    <t xml:space="preserve">Arrotondamento al centesimo di euro </t>
  </si>
  <si>
    <t>Impresa individuale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</si>
  <si>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</si>
  <si>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</si>
  <si>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</si>
  <si>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</si>
  <si>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</si>
  <si>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</si>
  <si>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</si>
  <si>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</si>
  <si>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</si>
  <si>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</si>
  <si>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</si>
  <si>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</si>
  <si>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</si>
  <si>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</si>
  <si>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</si>
  <si>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</si>
  <si>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</si>
  <si>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</si>
  <si>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</si>
  <si>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</si>
  <si>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</si>
  <si>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</si>
  <si>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</si>
  <si>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</si>
  <si>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</si>
  <si>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</si>
  <si>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</si>
  <si>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</si>
  <si>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</si>
  <si>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</si>
  <si>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</si>
  <si>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</si>
  <si>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</si>
  <si>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</si>
  <si>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</si>
  <si>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</si>
  <si>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</si>
  <si>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</si>
  <si>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</si>
  <si>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</si>
  <si>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</si>
  <si>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</si>
  <si>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</si>
  <si>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</si>
  <si>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</si>
  <si>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</si>
  <si>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</si>
  <si>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</si>
  <si>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</si>
  <si>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</si>
  <si>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</si>
  <si>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</si>
  <si>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</si>
  <si>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</si>
  <si>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</si>
  <si>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</si>
  <si>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</si>
  <si>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</si>
  <si>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</si>
  <si>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</si>
  <si>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</si>
  <si>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</si>
  <si>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</si>
  <si>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</si>
  <si>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</si>
  <si>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</si>
  <si>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</si>
  <si>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</si>
  <si>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</si>
  <si>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</si>
  <si>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</si>
  <si>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</si>
  <si>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</si>
  <si>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</si>
  <si>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</si>
  <si>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</si>
  <si>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</si>
  <si>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</si>
  <si>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</si>
  <si>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</si>
  <si>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</si>
  <si>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</si>
  <si>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</si>
  <si>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</si>
  <si>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</si>
  <si>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</si>
  <si>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</si>
  <si>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</si>
  <si>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</si>
  <si>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</si>
  <si>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</si>
  <si>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</si>
  <si>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</si>
  <si>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</si>
  <si>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</si>
  <si>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</si>
  <si>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</si>
  <si>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</si>
  <si>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</si>
  <si>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</si>
  <si>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</si>
  <si>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</si>
  <si>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</si>
  <si>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</si>
  <si>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</si>
  <si>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 xml:space="preserve">Maggiorazione: </t>
  </si>
  <si>
    <t>codice ente</t>
  </si>
  <si>
    <t>codice tributo</t>
  </si>
  <si>
    <t>importo</t>
  </si>
  <si>
    <t>codice ente/
codice comune</t>
  </si>
  <si>
    <t>anno di
riferimento</t>
  </si>
  <si>
    <t>importi a debito versati</t>
  </si>
  <si>
    <r>
      <t>S</t>
    </r>
    <r>
      <rPr>
        <sz val="10"/>
        <rFont val="Arial"/>
        <family val="2"/>
      </rPr>
      <t xml:space="preserve"> – Importo sede</t>
    </r>
  </si>
  <si>
    <r>
      <t>D</t>
    </r>
    <r>
      <rPr>
        <sz val="10"/>
        <rFont val="Arial"/>
        <family val="2"/>
      </rPr>
      <t xml:space="preserve"> – Delta derivante da eventuale maggiorazione su S </t>
    </r>
  </si>
  <si>
    <r>
      <t>SD</t>
    </r>
    <r>
      <rPr>
        <sz val="10"/>
        <rFont val="Arial"/>
        <family val="2"/>
      </rPr>
      <t xml:space="preserve"> – Importo finale sede (S+D)</t>
    </r>
  </si>
  <si>
    <t>Nell'F24 indicare:</t>
  </si>
  <si>
    <t>Dettaglio del calcolo effettuato</t>
  </si>
  <si>
    <r>
      <t xml:space="preserve">Numero REA o denominazione dell'impresa </t>
    </r>
    <r>
      <rPr>
        <sz val="10"/>
        <rFont val="Arial"/>
        <family val="2"/>
      </rPr>
      <t xml:space="preserve">(dato facoltativo) </t>
    </r>
  </si>
  <si>
    <t>Sigla della provincia della SEDE</t>
  </si>
  <si>
    <t>N</t>
  </si>
  <si>
    <t>Importo per ogni UL (20% dell'importo sede con massimo di € 200)</t>
  </si>
  <si>
    <t>Importo per la sede</t>
  </si>
  <si>
    <t>S</t>
  </si>
  <si>
    <t>U</t>
  </si>
  <si>
    <r>
      <t>SU</t>
    </r>
    <r>
      <rPr>
        <sz val="10"/>
        <rFont val="Arial"/>
        <family val="2"/>
      </rPr>
      <t xml:space="preserve"> – Importo dovuto per la sede e le UL (S+N)</t>
    </r>
  </si>
  <si>
    <r>
      <t>D</t>
    </r>
    <r>
      <rPr>
        <sz val="10"/>
        <rFont val="Arial"/>
        <family val="2"/>
      </rPr>
      <t xml:space="preserve"> – Delta derivante da eventuale maggiorazione appl. nella provincia</t>
    </r>
  </si>
  <si>
    <r>
      <t>SUD</t>
    </r>
    <r>
      <rPr>
        <sz val="10"/>
        <rFont val="Arial"/>
        <family val="2"/>
      </rPr>
      <t xml:space="preserve"> - Importo finale per sede e unità locali inclusa la maggiorazione</t>
    </r>
  </si>
  <si>
    <t>Arrotondamento all'unità di euro</t>
  </si>
  <si>
    <t>Calcolo dell'importo per un'impresa con sola sede in provincia</t>
  </si>
  <si>
    <t>Unità locali di imprese estere</t>
  </si>
  <si>
    <t>Calcolo dell'importo dovuto in base alla tipologia dell'impresa</t>
  </si>
  <si>
    <t>impresa individuale</t>
  </si>
  <si>
    <r>
      <t>NON</t>
    </r>
    <r>
      <rPr>
        <sz val="10"/>
        <rFont val="Arial"/>
        <family val="2"/>
      </rPr>
      <t xml:space="preserve"> è impresa individuale</t>
    </r>
  </si>
  <si>
    <t>sezione ordinaria</t>
  </si>
  <si>
    <t>sezione speciale</t>
  </si>
  <si>
    <t>solo REA</t>
  </si>
  <si>
    <t>A quale sezione del Registro imprese è iscritta?</t>
  </si>
  <si>
    <t>Calcolo dell'importo dovuto per le imprese iscritte nella sezione ordinaria</t>
  </si>
  <si>
    <t>società semplici agricole</t>
  </si>
  <si>
    <t>società semplici non agricole</t>
  </si>
  <si>
    <r>
      <t>società tra avvocati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(D.Lgs 96/2001 art 16 c. 2)</t>
    </r>
  </si>
  <si>
    <t>Indicare il tipo di impresa</t>
  </si>
  <si>
    <t>Calcolo dell'importo dovuto per le imprese iscritte nella sezione speciale</t>
  </si>
  <si>
    <t>da euro</t>
  </si>
  <si>
    <t>a euro</t>
  </si>
  <si>
    <t>Calcolo dell'importo dovuto per le imprese iscritte solo al REA</t>
  </si>
  <si>
    <t>Sedi secondarie di imprese estere</t>
  </si>
  <si>
    <t>FM</t>
  </si>
  <si>
    <t>PR</t>
  </si>
  <si>
    <t>cliccare sulla freccia per vedere le opzioni</t>
  </si>
  <si>
    <t>Dati da indicare nell'F24, "SEZIONE IMU E ALTRI TRIBUTI LOCALI"</t>
  </si>
  <si>
    <t>SEZIONE IMU E ALTRI TRIBUTI LOCALI</t>
  </si>
  <si>
    <t>Agrigento</t>
  </si>
  <si>
    <t>Alessandria</t>
  </si>
  <si>
    <t>Ancona</t>
  </si>
  <si>
    <t>Aosta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</si>
  <si>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</si>
  <si>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</si>
  <si>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</si>
  <si>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</si>
  <si>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</si>
  <si>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</si>
  <si>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</si>
  <si>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</si>
  <si>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</si>
  <si>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</si>
  <si>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</si>
  <si>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</si>
  <si>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</si>
  <si>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</si>
  <si>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</si>
  <si>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</si>
  <si>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</si>
  <si>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</si>
  <si>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</si>
  <si>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</si>
  <si>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</si>
  <si>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</si>
  <si>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</si>
  <si>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</si>
  <si>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</si>
  <si>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</si>
  <si>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</si>
  <si>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</si>
  <si>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</si>
  <si>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Fermo</t>
  </si>
  <si>
    <t>Forli'-Cesena</t>
  </si>
  <si>
    <t>Frosinone</t>
  </si>
  <si>
    <t>Genova</t>
  </si>
  <si>
    <t>Gorizia</t>
  </si>
  <si>
    <t>Grosseto</t>
  </si>
  <si>
    <t>Imperia</t>
  </si>
  <si>
    <t>Isernia</t>
  </si>
  <si>
    <t>La Spezia</t>
  </si>
  <si>
    <t>L'Aquila</t>
  </si>
  <si>
    <t>Latina</t>
  </si>
  <si>
    <t>Lecce</t>
  </si>
  <si>
    <t>Lecco</t>
  </si>
  <si>
    <t>Livorno</t>
  </si>
  <si>
    <t>Lodi</t>
  </si>
  <si>
    <t>Lucca</t>
  </si>
  <si>
    <t>Monza e Brianza</t>
  </si>
  <si>
    <t>Macerata</t>
  </si>
  <si>
    <t>Mantova</t>
  </si>
  <si>
    <t>Massa-Carrara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</si>
  <si>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</si>
  <si>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</si>
  <si>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</si>
  <si>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</si>
  <si>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</si>
  <si>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</si>
  <si>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</si>
  <si>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</si>
  <si>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</si>
  <si>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</si>
  <si>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</si>
  <si>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</si>
  <si>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</si>
  <si>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</si>
  <si>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</si>
  <si>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</si>
  <si>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</si>
  <si>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</si>
  <si>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</si>
  <si>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</si>
  <si>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</si>
  <si>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</si>
  <si>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</si>
  <si>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di Calabria</t>
  </si>
  <si>
    <t>Reggio nell'Emilia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</si>
  <si>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</si>
  <si>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</si>
  <si>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</si>
  <si>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</si>
  <si>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</si>
  <si>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</si>
  <si>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</si>
  <si>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</si>
  <si>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</si>
  <si>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</si>
  <si>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</si>
  <si>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</si>
  <si>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</si>
  <si>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</si>
  <si>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</si>
  <si>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</si>
  <si>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</si>
  <si>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</si>
  <si>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</si>
  <si>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</si>
  <si>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</si>
  <si>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</si>
  <si>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</si>
  <si>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</si>
  <si>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</si>
  <si>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</si>
  <si>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</si>
  <si>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Per ottenere il conteggio del diritto dovuto inserire i dati nelle caselle con fondo arancione (giallo per i dati facoltativi)</t>
  </si>
  <si>
    <t>Importo finale UL importi 2014
+
eventuale maggiorazione</t>
  </si>
  <si>
    <t xml:space="preserve"> Importo singola UL moltiplicato il numero delle unità locali</t>
  </si>
  <si>
    <t>Importo singola UL</t>
  </si>
  <si>
    <t>ê</t>
  </si>
  <si>
    <t>sì</t>
  </si>
  <si>
    <t>no</t>
  </si>
  <si>
    <t>Calcola la maggiorazione dello 0,4% ------------------------------&gt;</t>
  </si>
  <si>
    <t>Riduzione del 50%</t>
  </si>
  <si>
    <t>AS</t>
  </si>
  <si>
    <t>Arezzo-Siena</t>
  </si>
  <si>
    <t>BV</t>
  </si>
  <si>
    <t>Biella-Vercelli</t>
  </si>
  <si>
    <t>TB</t>
  </si>
  <si>
    <t>Treviso-Belluno</t>
  </si>
  <si>
    <t>Basilicata</t>
  </si>
  <si>
    <t>Marche</t>
  </si>
  <si>
    <t>CP</t>
  </si>
  <si>
    <t>Chieti-Pescara</t>
  </si>
  <si>
    <t>Como-Lecco</t>
  </si>
  <si>
    <t>ti</t>
  </si>
  <si>
    <t>Maremma e Tirreno</t>
  </si>
  <si>
    <t>IC</t>
  </si>
  <si>
    <t>Molise</t>
  </si>
  <si>
    <t>ep</t>
  </si>
  <si>
    <t>Palermo - Enna</t>
  </si>
  <si>
    <t>mp</t>
  </si>
  <si>
    <t>ma</t>
  </si>
  <si>
    <t>up</t>
  </si>
  <si>
    <t>Pordenone - Udine</t>
  </si>
  <si>
    <t>vg</t>
  </si>
  <si>
    <t>Venezia Giulia</t>
  </si>
  <si>
    <t>dl</t>
  </si>
  <si>
    <t xml:space="preserve">Venezia - Rovigo </t>
  </si>
  <si>
    <t>rl</t>
  </si>
  <si>
    <t>Sio</t>
  </si>
  <si>
    <t>Sicilia orientale</t>
  </si>
  <si>
    <t>Riviere di Liguria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</si>
</sst>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Euro&quot;* 0.00"/>
    <numFmt numFmtId="173" formatCode="#,##0.00&quot;€ &quot;"/>
    <numFmt numFmtId="174" formatCode="0.000%"/>
    <numFmt numFmtId="175" formatCode="#,##0.00000&quot;€ &quot;"/>
    <numFmt numFmtId="176" formatCode="#,##0&quot;€ &quot;"/>
    <numFmt numFmtId="177" formatCode="_-* #,##0.00_-;\-* #,##0.00_-;_-* \-??_-;_-@_-"/>
    <numFmt numFmtId="178" formatCode="_-* #,##0_-;\-* #,##0_-;_-* \-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.00000_-;\-* #,##0.00000_-;_-* &quot;-&quot;?????_-;_-@_-"/>
    <numFmt numFmtId="184" formatCode="#,##0.00000&quot; € &quot;"/>
    <numFmt numFmtId="185" formatCode="#,##0&quot; € &quot;"/>
    <numFmt numFmtId="186" formatCode="#,##0.00&quot; € &quot;"/>
    <numFmt numFmtId="187" formatCode="dd/mm/yy"/>
    <numFmt numFmtId="188" formatCode="[Blue]0%;;&quot;---&quot;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rebuchet MS"/>
      <family val="2"/>
    </font>
    <font>
      <sz val="10"/>
      <color indexed="56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56"/>
      <name val="Arial"/>
      <family val="2"/>
    </font>
    <font>
      <b/>
      <sz val="12"/>
      <color indexed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b/>
      <sz val="10"/>
      <color indexed="16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color indexed="63"/>
      <name val="Arial"/>
      <family val="2"/>
    </font>
    <font>
      <sz val="14"/>
      <name val="Arial"/>
      <family val="2"/>
    </font>
    <font>
      <b/>
      <sz val="14"/>
      <color indexed="56"/>
      <name val="Wingdings"/>
      <family val="0"/>
    </font>
    <font>
      <b/>
      <sz val="10"/>
      <color indexed="9"/>
      <name val="Arial"/>
      <family val="2"/>
    </font>
    <font>
      <sz val="12"/>
      <color indexed="16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>
        <color indexed="60"/>
      </left>
      <right>
        <color indexed="63"/>
      </right>
      <top style="dashed">
        <color indexed="60"/>
      </top>
      <bottom style="dashed">
        <color indexed="60"/>
      </bottom>
    </border>
    <border>
      <left>
        <color indexed="63"/>
      </left>
      <right>
        <color indexed="63"/>
      </right>
      <top style="dashed">
        <color indexed="60"/>
      </top>
      <bottom style="dashed">
        <color indexed="60"/>
      </bottom>
    </border>
    <border>
      <left>
        <color indexed="63"/>
      </left>
      <right style="dashed">
        <color indexed="60"/>
      </right>
      <top style="dashed">
        <color indexed="60"/>
      </top>
      <bottom style="dashed">
        <color indexed="6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7" fontId="0" fillId="0" borderId="0" applyFill="0" applyBorder="0" applyAlignment="0" applyProtection="0"/>
    <xf numFmtId="169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4" fontId="24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 applyProtection="1">
      <alignment horizontal="center"/>
      <protection/>
    </xf>
    <xf numFmtId="4" fontId="24" fillId="24" borderId="0" xfId="0" applyNumberFormat="1" applyFont="1" applyFill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4" fontId="25" fillId="0" borderId="0" xfId="0" applyNumberFormat="1" applyFont="1" applyAlignment="1" applyProtection="1">
      <alignment/>
      <protection/>
    </xf>
    <xf numFmtId="4" fontId="25" fillId="0" borderId="0" xfId="0" applyNumberFormat="1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173" fontId="22" fillId="0" borderId="0" xfId="0" applyNumberFormat="1" applyFont="1" applyAlignment="1" applyProtection="1">
      <alignment horizontal="center"/>
      <protection/>
    </xf>
    <xf numFmtId="0" fontId="26" fillId="16" borderId="0" xfId="0" applyFont="1" applyFill="1" applyAlignment="1" applyProtection="1">
      <alignment/>
      <protection/>
    </xf>
    <xf numFmtId="175" fontId="22" fillId="0" borderId="0" xfId="0" applyNumberFormat="1" applyFont="1" applyAlignment="1" applyProtection="1">
      <alignment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 shrinkToFit="1"/>
      <protection/>
    </xf>
    <xf numFmtId="0" fontId="27" fillId="25" borderId="0" xfId="0" applyFont="1" applyFill="1" applyBorder="1" applyAlignment="1" applyProtection="1">
      <alignment horizontal="center" vertical="center" wrapText="1"/>
      <protection/>
    </xf>
    <xf numFmtId="0" fontId="27" fillId="25" borderId="0" xfId="0" applyFont="1" applyFill="1" applyBorder="1" applyAlignment="1" applyProtection="1">
      <alignment horizontal="center" vertical="center" wrapText="1" shrinkToFit="1"/>
      <protection/>
    </xf>
    <xf numFmtId="172" fontId="28" fillId="24" borderId="0" xfId="0" applyNumberFormat="1" applyFont="1" applyFill="1" applyAlignment="1" applyProtection="1">
      <alignment/>
      <protection/>
    </xf>
    <xf numFmtId="4" fontId="24" fillId="26" borderId="0" xfId="0" applyNumberFormat="1" applyFont="1" applyFill="1" applyAlignment="1" applyProtection="1">
      <alignment/>
      <protection/>
    </xf>
    <xf numFmtId="172" fontId="29" fillId="26" borderId="0" xfId="0" applyNumberFormat="1" applyFont="1" applyFill="1" applyAlignment="1" applyProtection="1">
      <alignment horizontal="center" wrapText="1"/>
      <protection/>
    </xf>
    <xf numFmtId="0" fontId="29" fillId="26" borderId="0" xfId="0" applyFont="1" applyFill="1" applyAlignment="1" applyProtection="1">
      <alignment/>
      <protection/>
    </xf>
    <xf numFmtId="3" fontId="29" fillId="26" borderId="0" xfId="0" applyNumberFormat="1" applyFont="1" applyFill="1" applyAlignment="1" applyProtection="1">
      <alignment/>
      <protection/>
    </xf>
    <xf numFmtId="172" fontId="30" fillId="26" borderId="0" xfId="0" applyNumberFormat="1" applyFont="1" applyFill="1" applyAlignment="1" applyProtection="1">
      <alignment/>
      <protection/>
    </xf>
    <xf numFmtId="0" fontId="30" fillId="26" borderId="0" xfId="0" applyFont="1" applyFill="1" applyAlignment="1" applyProtection="1">
      <alignment horizontal="center"/>
      <protection/>
    </xf>
    <xf numFmtId="4" fontId="30" fillId="26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72" fontId="0" fillId="0" borderId="0" xfId="0" applyNumberFormat="1" applyFont="1" applyAlignment="1" applyProtection="1">
      <alignment/>
      <protection/>
    </xf>
    <xf numFmtId="172" fontId="31" fillId="0" borderId="0" xfId="0" applyNumberFormat="1" applyFont="1" applyAlignment="1" applyProtection="1">
      <alignment/>
      <protection/>
    </xf>
    <xf numFmtId="3" fontId="23" fillId="27" borderId="0" xfId="0" applyNumberFormat="1" applyFont="1" applyFill="1" applyBorder="1" applyAlignment="1" applyProtection="1">
      <alignment/>
      <protection locked="0"/>
    </xf>
    <xf numFmtId="0" fontId="23" fillId="27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 horizontal="right"/>
      <protection/>
    </xf>
    <xf numFmtId="0" fontId="0" fillId="26" borderId="0" xfId="0" applyFont="1" applyFill="1" applyAlignment="1" applyProtection="1">
      <alignment/>
      <protection/>
    </xf>
    <xf numFmtId="3" fontId="0" fillId="26" borderId="0" xfId="0" applyNumberFormat="1" applyFont="1" applyFill="1" applyAlignment="1" applyProtection="1">
      <alignment/>
      <protection/>
    </xf>
    <xf numFmtId="172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 applyProtection="1">
      <alignment horizontal="right"/>
      <protection/>
    </xf>
    <xf numFmtId="3" fontId="0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0" fillId="16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84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5" fontId="0" fillId="0" borderId="0" xfId="0" applyNumberFormat="1" applyFont="1" applyBorder="1" applyAlignment="1" applyProtection="1">
      <alignment/>
      <protection/>
    </xf>
    <xf numFmtId="173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Alignment="1" applyProtection="1">
      <alignment horizontal="right"/>
      <protection/>
    </xf>
    <xf numFmtId="174" fontId="0" fillId="0" borderId="0" xfId="0" applyNumberFormat="1" applyFont="1" applyAlignment="1" applyProtection="1">
      <alignment/>
      <protection/>
    </xf>
    <xf numFmtId="175" fontId="0" fillId="0" borderId="11" xfId="0" applyNumberFormat="1" applyFont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28" borderId="0" xfId="0" applyFont="1" applyFill="1" applyAlignment="1" applyProtection="1">
      <alignment/>
      <protection/>
    </xf>
    <xf numFmtId="0" fontId="34" fillId="0" borderId="0" xfId="0" applyFont="1" applyAlignment="1" applyProtection="1">
      <alignment horizontal="right" wrapText="1"/>
      <protection/>
    </xf>
    <xf numFmtId="0" fontId="36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9" fontId="0" fillId="0" borderId="0" xfId="0" applyNumberFormat="1" applyFill="1" applyAlignment="1" applyProtection="1">
      <alignment horizontal="center"/>
      <protection/>
    </xf>
    <xf numFmtId="184" fontId="0" fillId="29" borderId="0" xfId="0" applyNumberFormat="1" applyFont="1" applyFill="1" applyAlignment="1" applyProtection="1">
      <alignment/>
      <protection/>
    </xf>
    <xf numFmtId="0" fontId="30" fillId="29" borderId="0" xfId="0" applyFont="1" applyFill="1" applyAlignment="1" applyProtection="1">
      <alignment/>
      <protection/>
    </xf>
    <xf numFmtId="0" fontId="39" fillId="29" borderId="0" xfId="0" applyFont="1" applyFill="1" applyAlignment="1" applyProtection="1">
      <alignment/>
      <protection/>
    </xf>
    <xf numFmtId="4" fontId="22" fillId="0" borderId="0" xfId="0" applyNumberFormat="1" applyFont="1" applyFill="1" applyAlignment="1" applyProtection="1">
      <alignment/>
      <protection/>
    </xf>
    <xf numFmtId="173" fontId="0" fillId="0" borderId="12" xfId="0" applyNumberFormat="1" applyFont="1" applyBorder="1" applyAlignment="1" applyProtection="1">
      <alignment/>
      <protection/>
    </xf>
    <xf numFmtId="173" fontId="22" fillId="0" borderId="0" xfId="0" applyNumberFormat="1" applyFont="1" applyFill="1" applyAlignment="1" applyProtection="1">
      <alignment/>
      <protection/>
    </xf>
    <xf numFmtId="0" fontId="22" fillId="30" borderId="13" xfId="0" applyFont="1" applyFill="1" applyBorder="1" applyAlignment="1" applyProtection="1">
      <alignment horizontal="left"/>
      <protection locked="0"/>
    </xf>
    <xf numFmtId="0" fontId="22" fillId="30" borderId="14" xfId="0" applyFont="1" applyFill="1" applyBorder="1" applyAlignment="1" applyProtection="1">
      <alignment horizontal="left"/>
      <protection locked="0"/>
    </xf>
    <xf numFmtId="0" fontId="22" fillId="30" borderId="15" xfId="0" applyFont="1" applyFill="1" applyBorder="1" applyAlignment="1" applyProtection="1">
      <alignment horizontal="left"/>
      <protection locked="0"/>
    </xf>
    <xf numFmtId="0" fontId="0" fillId="30" borderId="16" xfId="0" applyFont="1" applyFill="1" applyBorder="1" applyAlignment="1" applyProtection="1">
      <alignment horizontal="center"/>
      <protection locked="0"/>
    </xf>
    <xf numFmtId="0" fontId="40" fillId="25" borderId="16" xfId="0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 horizontal="center" vertical="center"/>
      <protection/>
    </xf>
    <xf numFmtId="0" fontId="0" fillId="26" borderId="0" xfId="0" applyFont="1" applyFill="1" applyAlignment="1" applyProtection="1">
      <alignment horizontal="center"/>
      <protection/>
    </xf>
    <xf numFmtId="176" fontId="22" fillId="26" borderId="17" xfId="0" applyNumberFormat="1" applyFont="1" applyFill="1" applyBorder="1" applyAlignment="1" applyProtection="1">
      <alignment/>
      <protection/>
    </xf>
    <xf numFmtId="1" fontId="0" fillId="26" borderId="18" xfId="0" applyNumberFormat="1" applyFont="1" applyFill="1" applyBorder="1" applyAlignment="1" applyProtection="1">
      <alignment horizontal="center"/>
      <protection/>
    </xf>
    <xf numFmtId="176" fontId="22" fillId="26" borderId="19" xfId="0" applyNumberFormat="1" applyFont="1" applyFill="1" applyBorder="1" applyAlignment="1" applyProtection="1">
      <alignment/>
      <protection/>
    </xf>
    <xf numFmtId="0" fontId="27" fillId="31" borderId="0" xfId="0" applyFont="1" applyFill="1" applyBorder="1" applyAlignment="1" applyProtection="1">
      <alignment horizontal="center" vertical="center" wrapText="1"/>
      <protection/>
    </xf>
    <xf numFmtId="0" fontId="27" fillId="31" borderId="17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Border="1" applyAlignment="1" applyProtection="1">
      <alignment horizontal="center" vertical="center" wrapText="1"/>
      <protection/>
    </xf>
    <xf numFmtId="188" fontId="0" fillId="0" borderId="0" xfId="50" applyNumberFormat="1" applyFont="1" applyFill="1" applyBorder="1" applyAlignment="1" applyProtection="1">
      <alignment horizontal="center"/>
      <protection/>
    </xf>
    <xf numFmtId="188" fontId="0" fillId="0" borderId="18" xfId="50" applyNumberFormat="1" applyFont="1" applyFill="1" applyBorder="1" applyAlignment="1" applyProtection="1">
      <alignment horizontal="center"/>
      <protection/>
    </xf>
    <xf numFmtId="1" fontId="0" fillId="30" borderId="0" xfId="45" applyNumberFormat="1" applyFont="1" applyFill="1" applyBorder="1" applyAlignment="1" applyProtection="1">
      <alignment horizontal="center" vertical="center"/>
      <protection locked="0"/>
    </xf>
    <xf numFmtId="1" fontId="0" fillId="30" borderId="18" xfId="45" applyNumberFormat="1" applyFont="1" applyFill="1" applyBorder="1" applyAlignment="1" applyProtection="1">
      <alignment horizontal="center" vertical="center"/>
      <protection locked="0"/>
    </xf>
    <xf numFmtId="175" fontId="0" fillId="0" borderId="12" xfId="0" applyNumberFormat="1" applyFont="1" applyBorder="1" applyAlignment="1" applyProtection="1">
      <alignment/>
      <protection/>
    </xf>
    <xf numFmtId="0" fontId="38" fillId="3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30" borderId="16" xfId="0" applyFont="1" applyFill="1" applyBorder="1" applyAlignment="1" applyProtection="1">
      <alignment horizontal="center"/>
      <protection locked="0"/>
    </xf>
    <xf numFmtId="0" fontId="0" fillId="30" borderId="21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0" fillId="26" borderId="12" xfId="0" applyFont="1" applyFill="1" applyBorder="1" applyAlignment="1" applyProtection="1">
      <alignment horizontal="center"/>
      <protection/>
    </xf>
    <xf numFmtId="0" fontId="23" fillId="27" borderId="0" xfId="0" applyFont="1" applyFill="1" applyBorder="1" applyAlignment="1" applyProtection="1" quotePrefix="1">
      <alignment horizontal="center"/>
      <protection locked="0"/>
    </xf>
    <xf numFmtId="0" fontId="23" fillId="33" borderId="22" xfId="0" applyFont="1" applyFill="1" applyBorder="1" applyAlignment="1" applyProtection="1">
      <alignment horizontal="center"/>
      <protection/>
    </xf>
    <xf numFmtId="9" fontId="35" fillId="34" borderId="0" xfId="50" applyFont="1" applyFill="1" applyBorder="1" applyAlignment="1" applyProtection="1">
      <alignment horizontal="left"/>
      <protection/>
    </xf>
    <xf numFmtId="0" fontId="30" fillId="34" borderId="0" xfId="0" applyFont="1" applyFill="1" applyAlignment="1" applyProtection="1">
      <alignment horizontal="center"/>
      <protection/>
    </xf>
    <xf numFmtId="175" fontId="0" fillId="35" borderId="0" xfId="0" applyNumberFormat="1" applyFont="1" applyFill="1" applyAlignment="1" applyProtection="1">
      <alignment/>
      <protection/>
    </xf>
    <xf numFmtId="2" fontId="0" fillId="35" borderId="0" xfId="0" applyNumberFormat="1" applyFont="1" applyFill="1" applyAlignment="1" applyProtection="1">
      <alignment/>
      <protection/>
    </xf>
    <xf numFmtId="0" fontId="31" fillId="0" borderId="16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0" fontId="43" fillId="0" borderId="16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/>
      <protection/>
    </xf>
    <xf numFmtId="0" fontId="41" fillId="36" borderId="10" xfId="0" applyFont="1" applyFill="1" applyBorder="1" applyAlignment="1" applyProtection="1">
      <alignment horizontal="center" vertical="center" wrapText="1"/>
      <protection/>
    </xf>
    <xf numFmtId="0" fontId="41" fillId="36" borderId="23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 horizontal="center" vertical="center"/>
      <protection/>
    </xf>
    <xf numFmtId="172" fontId="32" fillId="28" borderId="0" xfId="0" applyNumberFormat="1" applyFont="1" applyFill="1" applyAlignment="1" applyProtection="1">
      <alignment horizontal="center"/>
      <protection/>
    </xf>
    <xf numFmtId="172" fontId="42" fillId="28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18</xdr:row>
      <xdr:rowOff>133350</xdr:rowOff>
    </xdr:from>
    <xdr:to>
      <xdr:col>7</xdr:col>
      <xdr:colOff>114300</xdr:colOff>
      <xdr:row>23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419475" y="3105150"/>
          <a:ext cx="4381500" cy="1009650"/>
        </a:xfrm>
        <a:prstGeom prst="bentConnector3">
          <a:avLst>
            <a:gd name="adj" fmla="val 111865"/>
          </a:avLst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676275</xdr:colOff>
      <xdr:row>16</xdr:row>
      <xdr:rowOff>57150</xdr:rowOff>
    </xdr:from>
    <xdr:to>
      <xdr:col>4</xdr:col>
      <xdr:colOff>828675</xdr:colOff>
      <xdr:row>16</xdr:row>
      <xdr:rowOff>180975</xdr:rowOff>
    </xdr:to>
    <xdr:pic>
      <xdr:nvPicPr>
        <xdr:cNvPr id="2" name="cbApplicaMaggiorazione4permi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27527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tabColor indexed="51"/>
    <pageSetUpPr fitToPage="1"/>
  </sheetPr>
  <dimension ref="A1:IV149"/>
  <sheetViews>
    <sheetView showGridLines="0" tabSelected="1" zoomScalePageLayoutView="0" workbookViewId="0" topLeftCell="A1">
      <selection activeCell="E15" sqref="E15"/>
    </sheetView>
  </sheetViews>
  <sheetFormatPr defaultColWidth="0" defaultRowHeight="12.75" zeroHeight="1"/>
  <cols>
    <col min="1" max="1" width="2.28125" style="28" customWidth="1"/>
    <col min="2" max="2" width="19.57421875" style="28" customWidth="1"/>
    <col min="3" max="3" width="19.00390625" style="28" customWidth="1"/>
    <col min="4" max="4" width="18.00390625" style="28" customWidth="1"/>
    <col min="5" max="5" width="23.28125" style="28" customWidth="1"/>
    <col min="6" max="6" width="15.8515625" style="28" customWidth="1"/>
    <col min="7" max="7" width="17.28125" style="28" customWidth="1"/>
    <col min="8" max="8" width="14.8515625" style="28" customWidth="1"/>
    <col min="9" max="9" width="15.421875" style="28" customWidth="1"/>
    <col min="10" max="10" width="12.140625" style="28" customWidth="1"/>
    <col min="11" max="12" width="8.8515625" style="28" customWidth="1"/>
    <col min="13" max="13" width="8.8515625" style="28" hidden="1" customWidth="1"/>
    <col min="14" max="14" width="37.00390625" style="28" hidden="1" customWidth="1"/>
    <col min="15" max="16384" width="8.8515625" style="28" hidden="1" customWidth="1"/>
  </cols>
  <sheetData>
    <row r="1" spans="1:256" s="88" customFormat="1" ht="22.5">
      <c r="A1" s="104" t="str">
        <f>"DIRITTO ANNUALE "&amp;anno&amp;" - CALCOLO del DIRITTO DOVUTO"</f>
        <v>DIRITTO ANNUALE 2024 - CALCOLO del DIRITTO DOVUTO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87" t="b">
        <v>0</v>
      </c>
      <c r="IV1" s="89"/>
    </row>
    <row r="2" spans="1:12" s="89" customFormat="1" ht="18" customHeight="1">
      <c r="A2" s="102" t="str">
        <f>"PER TUTTE LE IMPRESE OBBLIGATE (SCEGLIERE LA FATTISPECIE) ISCRITTE NEL REGISTRO IMPRESE AL 01.01."&amp;anno</f>
        <v>PER TUTTE LE IMPRESE OBBLIGATE (SCEGLIERE LA FATTISPECIE) ISCRITTE NEL REGISTRO IMPRESE AL 01.01.2024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7:256" s="1" customFormat="1" ht="8.25" customHeight="1">
      <c r="G3" s="2"/>
      <c r="IV3" s="28"/>
    </row>
    <row r="4" spans="1:14" ht="18" customHeight="1">
      <c r="A4" s="29"/>
      <c r="B4" s="109" t="s">
        <v>279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N4" s="28" t="s">
        <v>155</v>
      </c>
    </row>
    <row r="5" spans="1:14" ht="18" customHeight="1" hidden="1">
      <c r="A5" s="2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N5" s="28" t="s">
        <v>156</v>
      </c>
    </row>
    <row r="6" spans="1:14" ht="18" customHeight="1">
      <c r="A6" s="108">
        <f>IF(UPPER(sigla_provincia)&lt;&gt;"VI","ATTENZIONE! CONTROLLARE CON LA CAMERA DI COMMERCIO DI "&amp;UPPER(sigla_provincia)&amp;" SE LA PERCENTUALE DI MAGGIORAZIONE È CORRETTA","")</f>
      </c>
      <c r="B6" s="108"/>
      <c r="C6" s="108"/>
      <c r="D6" s="108"/>
      <c r="E6" s="108"/>
      <c r="F6" s="108"/>
      <c r="G6" s="108"/>
      <c r="H6" s="108"/>
      <c r="I6" s="108"/>
      <c r="J6" s="108"/>
      <c r="N6" s="28" t="s">
        <v>157</v>
      </c>
    </row>
    <row r="7" spans="2:11" ht="18" customHeight="1">
      <c r="B7" s="3" t="s">
        <v>139</v>
      </c>
      <c r="E7" s="67"/>
      <c r="F7" s="68"/>
      <c r="G7" s="68"/>
      <c r="H7" s="68"/>
      <c r="I7" s="68"/>
      <c r="J7" s="68"/>
      <c r="K7" s="69"/>
    </row>
    <row r="8" ht="5.25" customHeight="1">
      <c r="B8" s="3"/>
    </row>
    <row r="9" spans="2:14" ht="18" customHeight="1">
      <c r="B9" s="3" t="s">
        <v>158</v>
      </c>
      <c r="E9" s="33">
        <v>1</v>
      </c>
      <c r="F9" s="57" t="s">
        <v>171</v>
      </c>
      <c r="N9" s="28" t="s">
        <v>284</v>
      </c>
    </row>
    <row r="10" spans="2:14" ht="6" customHeight="1">
      <c r="B10" s="3"/>
      <c r="N10" s="28" t="s">
        <v>285</v>
      </c>
    </row>
    <row r="11" spans="2:6" ht="18" customHeight="1">
      <c r="B11" s="3" t="s">
        <v>163</v>
      </c>
      <c r="E11" s="32">
        <v>2</v>
      </c>
      <c r="F11" s="57" t="s">
        <v>171</v>
      </c>
    </row>
    <row r="12" ht="6" customHeight="1">
      <c r="B12" s="3"/>
    </row>
    <row r="13" spans="2:14" ht="18" customHeight="1">
      <c r="B13" s="3" t="str">
        <f>"Fatturato "&amp;(anno-1)&amp;" (da dichiarazione IRAP "&amp;anno&amp;", espresso in euro):"</f>
        <v>Fatturato 2023 (da dichiarazione IRAP 2024, espresso in euro):</v>
      </c>
      <c r="E13" s="32">
        <v>0</v>
      </c>
      <c r="F13" s="12"/>
      <c r="G13" s="41"/>
      <c r="N13" s="28" t="s">
        <v>153</v>
      </c>
    </row>
    <row r="14" spans="2:14" ht="18" customHeight="1">
      <c r="B14" s="3" t="s">
        <v>140</v>
      </c>
      <c r="E14" s="97" t="s">
        <v>123</v>
      </c>
      <c r="F14" s="29" t="s">
        <v>127</v>
      </c>
      <c r="G14" s="98">
        <v>0.2</v>
      </c>
      <c r="N14" s="12" t="s">
        <v>154</v>
      </c>
    </row>
    <row r="15" spans="2:7" ht="18" customHeight="1">
      <c r="B15" s="4" t="str">
        <f>"Numero unità locali in provincia già iscritte al 31.12."&amp;TEXT(anno-1,"0000")</f>
        <v>Numero unità locali in provincia già iscritte al 31.12.2023</v>
      </c>
      <c r="E15" s="96">
        <v>0</v>
      </c>
      <c r="G15" s="58">
        <f>IF(UPPER(sigla_provincia)&lt;&gt;"VI","^","")</f>
      </c>
    </row>
    <row r="16" spans="1:14" ht="2.25" customHeight="1">
      <c r="A16" s="29"/>
      <c r="E16" s="59">
        <f>IF(UPPER(sigla_provincia)&lt;&gt;"VI","CONTROLLARE CON LA CAMERA DI COMMERCIO DI "&amp;UPPER(VLOOKUP(sigla_provincia,tb_maggiorazioni,2,FALSE))&amp;" SE LA PERCENTUALE DI MAGGIORAZIONE È CORRETTA","")</f>
      </c>
      <c r="F16" s="29"/>
      <c r="G16" s="5"/>
      <c r="N16" s="28">
        <f>IF(Sezione=1,2,6)</f>
        <v>2</v>
      </c>
    </row>
    <row r="17" spans="1:7" ht="18" customHeight="1">
      <c r="A17" s="29"/>
      <c r="B17" s="4" t="s">
        <v>286</v>
      </c>
      <c r="E17" s="85"/>
      <c r="F17" s="86" t="str">
        <f>IF(M1,"  applica la maggiorazione dello 0,4%","   calcola senza applicare la maggiorazione 0,4%")</f>
        <v>   calcola senza applicare la maggiorazione 0,4%</v>
      </c>
      <c r="G17" s="5"/>
    </row>
    <row r="18" spans="1:7" ht="3.75" customHeight="1">
      <c r="A18" s="29"/>
      <c r="E18" s="59"/>
      <c r="F18" s="29"/>
      <c r="G18" s="5"/>
    </row>
    <row r="19" spans="1:14" ht="18" customHeight="1">
      <c r="A19" s="29"/>
      <c r="B19" s="30" t="str">
        <f>"Importo in euro da indicare nell'F24 per la provincia di "&amp;sigla_provincia</f>
        <v>Importo in euro da indicare nell'F24 per la provincia di VI</v>
      </c>
      <c r="E19" s="6"/>
      <c r="F19" s="29"/>
      <c r="G19" s="5"/>
      <c r="N19" s="55" t="str">
        <f>IF(Sezione&lt;3,"Impresa individuale","Iscritto solo al Rea")</f>
        <v>Impresa individuale</v>
      </c>
    </row>
    <row r="20" spans="1:14" ht="7.5" customHeight="1">
      <c r="A20" s="29"/>
      <c r="B20" s="30"/>
      <c r="F20" s="29"/>
      <c r="G20" s="5"/>
      <c r="N20" s="55" t="str">
        <f>IF(Sezione=1,"NON è impresa individuale",IF(Sezione=2,"società semplici agricole",""))</f>
        <v>NON è impresa individuale</v>
      </c>
    </row>
    <row r="21" spans="1:14" ht="18" customHeight="1">
      <c r="A21" s="29"/>
      <c r="B21" s="30" t="s">
        <v>137</v>
      </c>
      <c r="F21" s="29"/>
      <c r="G21" s="5"/>
      <c r="N21" s="55">
        <f>IF(Sezione=2,"società semplici non agricole","")</f>
      </c>
    </row>
    <row r="22" spans="1:14" ht="15">
      <c r="A22" s="29"/>
      <c r="B22" s="20" t="s">
        <v>173</v>
      </c>
      <c r="C22" s="35"/>
      <c r="D22" s="35"/>
      <c r="E22" s="35"/>
      <c r="F22" s="36"/>
      <c r="G22" s="7"/>
      <c r="N22" s="55">
        <f>IF(Sezione=2,"Sezione speciale ex art. 16 D.Lgs 96/2001","")</f>
      </c>
    </row>
    <row r="23" spans="1:14" ht="23.25" customHeight="1">
      <c r="A23" s="29"/>
      <c r="B23" s="22" t="s">
        <v>131</v>
      </c>
      <c r="C23" s="23"/>
      <c r="D23" s="22" t="s">
        <v>129</v>
      </c>
      <c r="E23" s="24"/>
      <c r="F23" s="22" t="s">
        <v>132</v>
      </c>
      <c r="G23" s="22" t="s">
        <v>133</v>
      </c>
      <c r="N23" s="55">
        <f>IF(Sezione=2,"UL di imprese estere","")</f>
      </c>
    </row>
    <row r="24" spans="1:14" ht="18" customHeight="1">
      <c r="A24" s="29"/>
      <c r="B24" s="25" t="str">
        <f>sigla_provincia</f>
        <v>VI</v>
      </c>
      <c r="C24" s="37"/>
      <c r="D24" s="26">
        <v>3850</v>
      </c>
      <c r="E24" s="38"/>
      <c r="F24" s="99">
        <v>2024</v>
      </c>
      <c r="G24" s="27">
        <f>ROUND(diritto_totale*IF(M1,1.004,1),2)</f>
        <v>120</v>
      </c>
      <c r="N24" s="55">
        <f>IF(Sezione=2,"sedi secondarie di imprese estere","")</f>
      </c>
    </row>
    <row r="25" spans="1:7" ht="18" customHeight="1">
      <c r="A25" s="29"/>
      <c r="B25" s="39"/>
      <c r="C25" s="37"/>
      <c r="D25" s="37"/>
      <c r="E25" s="38"/>
      <c r="F25" s="40"/>
      <c r="G25" s="21"/>
    </row>
    <row r="26" spans="1:7" ht="18" customHeight="1">
      <c r="A26" s="29"/>
      <c r="B26" s="30"/>
      <c r="E26" s="41"/>
      <c r="F26" s="29"/>
      <c r="G26" s="5"/>
    </row>
    <row r="27" spans="1:7" ht="18" customHeight="1">
      <c r="A27" s="29"/>
      <c r="B27" s="30"/>
      <c r="E27" s="41"/>
      <c r="F27" s="29"/>
      <c r="G27" s="5"/>
    </row>
    <row r="28" spans="1:16" ht="18" customHeight="1">
      <c r="A28" s="31" t="s">
        <v>138</v>
      </c>
      <c r="E28" s="41"/>
      <c r="F28" s="29"/>
      <c r="G28" s="5"/>
      <c r="M28" s="92" t="s">
        <v>22</v>
      </c>
      <c r="N28" s="93" t="s">
        <v>174</v>
      </c>
      <c r="O28" s="60">
        <v>0.7</v>
      </c>
      <c r="P28" s="60">
        <v>0.7</v>
      </c>
    </row>
    <row r="29" spans="1:16" ht="18" customHeight="1">
      <c r="A29" s="29"/>
      <c r="B29" s="30"/>
      <c r="F29" s="29"/>
      <c r="G29" s="5"/>
      <c r="M29" s="92" t="s">
        <v>23</v>
      </c>
      <c r="N29" s="93" t="s">
        <v>175</v>
      </c>
      <c r="O29" s="60">
        <v>0.2</v>
      </c>
      <c r="P29" s="60">
        <v>0.2</v>
      </c>
    </row>
    <row r="30" spans="1:16" ht="12.75">
      <c r="A30" s="8" t="s">
        <v>159</v>
      </c>
      <c r="M30" s="92" t="s">
        <v>24</v>
      </c>
      <c r="N30" s="93" t="s">
        <v>176</v>
      </c>
      <c r="O30" s="60">
        <v>0</v>
      </c>
      <c r="P30" s="60">
        <v>0</v>
      </c>
    </row>
    <row r="31" spans="1:16" ht="6.75" customHeight="1">
      <c r="A31" s="8"/>
      <c r="M31" s="92" t="s">
        <v>25</v>
      </c>
      <c r="N31" s="93" t="s">
        <v>177</v>
      </c>
      <c r="O31" s="60">
        <v>0.2</v>
      </c>
      <c r="P31" s="60">
        <v>0.2</v>
      </c>
    </row>
    <row r="32" spans="3:16" ht="12.75">
      <c r="C32" s="9" t="s">
        <v>165</v>
      </c>
      <c r="D32" s="9" t="s">
        <v>166</v>
      </c>
      <c r="E32" s="56" t="s">
        <v>0</v>
      </c>
      <c r="F32" s="9" t="s">
        <v>1</v>
      </c>
      <c r="G32" s="9" t="s">
        <v>2</v>
      </c>
      <c r="M32" s="92" t="s">
        <v>26</v>
      </c>
      <c r="N32" s="93" t="s">
        <v>179</v>
      </c>
      <c r="O32" s="60">
        <v>0.2</v>
      </c>
      <c r="P32" s="60">
        <v>0.2</v>
      </c>
    </row>
    <row r="33" spans="1:16" ht="12.75">
      <c r="A33" s="28" t="s">
        <v>3</v>
      </c>
      <c r="C33" s="10">
        <v>0</v>
      </c>
      <c r="D33" s="10">
        <v>100000</v>
      </c>
      <c r="E33" s="51" t="s">
        <v>4</v>
      </c>
      <c r="F33" s="29" t="s">
        <v>5</v>
      </c>
      <c r="G33" s="42">
        <f>IF(Sezione=1,200,0)</f>
        <v>200</v>
      </c>
      <c r="M33" s="92" t="s">
        <v>27</v>
      </c>
      <c r="N33" s="93" t="s">
        <v>216</v>
      </c>
      <c r="O33" s="60">
        <v>0.2</v>
      </c>
      <c r="P33" s="60">
        <v>0.2</v>
      </c>
    </row>
    <row r="34" spans="1:16" ht="12.75">
      <c r="A34" s="28" t="s">
        <v>6</v>
      </c>
      <c r="C34" s="10">
        <v>100000</v>
      </c>
      <c r="D34" s="10">
        <v>250000</v>
      </c>
      <c r="E34" s="43">
        <f aca="true" t="shared" si="0" ref="E34:E40">IF(Fatturato_2009&lt;C34,0,IF(Fatturato_2009&gt;D34,D34-C34,Fatturato_2009-C34))</f>
        <v>0</v>
      </c>
      <c r="F34" s="52">
        <v>0.00015</v>
      </c>
      <c r="G34" s="44">
        <f aca="true" t="shared" si="1" ref="G34:G40">IF(Sezione=1,ROUND(E34*F34,5),0)</f>
        <v>0</v>
      </c>
      <c r="M34" s="92" t="s">
        <v>28</v>
      </c>
      <c r="N34" s="93" t="s">
        <v>178</v>
      </c>
      <c r="O34" s="60">
        <v>0.2</v>
      </c>
      <c r="P34" s="60">
        <v>0.2</v>
      </c>
    </row>
    <row r="35" spans="1:16" ht="12.75">
      <c r="A35" s="28" t="s">
        <v>7</v>
      </c>
      <c r="C35" s="10">
        <v>250000</v>
      </c>
      <c r="D35" s="10">
        <v>500000</v>
      </c>
      <c r="E35" s="43">
        <f t="shared" si="0"/>
        <v>0</v>
      </c>
      <c r="F35" s="52">
        <v>0.00013</v>
      </c>
      <c r="G35" s="44">
        <f t="shared" si="1"/>
        <v>0</v>
      </c>
      <c r="M35" s="92" t="s">
        <v>288</v>
      </c>
      <c r="N35" s="93" t="s">
        <v>289</v>
      </c>
      <c r="O35" s="60">
        <v>0.2</v>
      </c>
      <c r="P35" s="60">
        <v>0.2</v>
      </c>
    </row>
    <row r="36" spans="1:16" ht="12.75">
      <c r="A36" s="28" t="s">
        <v>8</v>
      </c>
      <c r="C36" s="10">
        <v>500000</v>
      </c>
      <c r="D36" s="10">
        <v>1000000</v>
      </c>
      <c r="E36" s="43">
        <f t="shared" si="0"/>
        <v>0</v>
      </c>
      <c r="F36" s="52">
        <v>0.0001</v>
      </c>
      <c r="G36" s="44">
        <f t="shared" si="1"/>
        <v>0</v>
      </c>
      <c r="M36" s="92" t="s">
        <v>29</v>
      </c>
      <c r="N36" s="93" t="s">
        <v>180</v>
      </c>
      <c r="O36" s="60">
        <v>0.2</v>
      </c>
      <c r="P36" s="60">
        <v>0.2</v>
      </c>
    </row>
    <row r="37" spans="1:16" ht="12.75">
      <c r="A37" s="28" t="s">
        <v>9</v>
      </c>
      <c r="C37" s="10">
        <v>1000000</v>
      </c>
      <c r="D37" s="10">
        <v>10000000</v>
      </c>
      <c r="E37" s="43">
        <f t="shared" si="0"/>
        <v>0</v>
      </c>
      <c r="F37" s="52">
        <v>9E-05</v>
      </c>
      <c r="G37" s="44">
        <f t="shared" si="1"/>
        <v>0</v>
      </c>
      <c r="M37" s="92" t="s">
        <v>30</v>
      </c>
      <c r="N37" s="93" t="s">
        <v>181</v>
      </c>
      <c r="O37" s="60">
        <v>0.2</v>
      </c>
      <c r="P37" s="60">
        <v>0.2</v>
      </c>
    </row>
    <row r="38" spans="1:16" ht="12.75">
      <c r="A38" s="28" t="s">
        <v>10</v>
      </c>
      <c r="C38" s="10">
        <v>10000000</v>
      </c>
      <c r="D38" s="10">
        <v>35000000</v>
      </c>
      <c r="E38" s="43">
        <f t="shared" si="0"/>
        <v>0</v>
      </c>
      <c r="F38" s="52">
        <v>5E-05</v>
      </c>
      <c r="G38" s="44">
        <f t="shared" si="1"/>
        <v>0</v>
      </c>
      <c r="M38" s="92" t="s">
        <v>31</v>
      </c>
      <c r="N38" s="93" t="s">
        <v>182</v>
      </c>
      <c r="O38" s="60">
        <v>0.2</v>
      </c>
      <c r="P38" s="60">
        <v>0.2</v>
      </c>
    </row>
    <row r="39" spans="1:16" ht="12.75">
      <c r="A39" s="28" t="s">
        <v>11</v>
      </c>
      <c r="C39" s="10">
        <v>35000000</v>
      </c>
      <c r="D39" s="10">
        <v>50000000</v>
      </c>
      <c r="E39" s="43">
        <f t="shared" si="0"/>
        <v>0</v>
      </c>
      <c r="F39" s="52">
        <v>3E-05</v>
      </c>
      <c r="G39" s="44">
        <f t="shared" si="1"/>
        <v>0</v>
      </c>
      <c r="M39" s="92" t="s">
        <v>32</v>
      </c>
      <c r="N39" s="93" t="s">
        <v>185</v>
      </c>
      <c r="O39" s="60">
        <v>0.2</v>
      </c>
      <c r="P39" s="60">
        <v>0.2</v>
      </c>
    </row>
    <row r="40" spans="1:16" ht="12.75">
      <c r="A40" s="28" t="s">
        <v>12</v>
      </c>
      <c r="C40" s="10">
        <v>50000000</v>
      </c>
      <c r="D40" s="11" t="s">
        <v>13</v>
      </c>
      <c r="E40" s="43">
        <f t="shared" si="0"/>
        <v>0</v>
      </c>
      <c r="F40" s="52">
        <v>1E-05</v>
      </c>
      <c r="G40" s="53">
        <f t="shared" si="1"/>
        <v>0</v>
      </c>
      <c r="M40" s="92" t="s">
        <v>33</v>
      </c>
      <c r="N40" s="93" t="s">
        <v>186</v>
      </c>
      <c r="O40" s="60">
        <v>0.2</v>
      </c>
      <c r="P40" s="60">
        <v>0.2</v>
      </c>
    </row>
    <row r="41" spans="5:16" ht="12.75">
      <c r="E41" s="12"/>
      <c r="F41" s="12"/>
      <c r="G41" s="100">
        <f>IF(Sezione=1,IF(TipoImpresa=1,200,MIN(SUM(G33:G40),40000)),0)</f>
        <v>200</v>
      </c>
      <c r="H41" s="13" t="s">
        <v>14</v>
      </c>
      <c r="I41" s="13"/>
      <c r="M41" s="92" t="s">
        <v>290</v>
      </c>
      <c r="N41" s="93" t="s">
        <v>291</v>
      </c>
      <c r="O41" s="60">
        <v>0.2</v>
      </c>
      <c r="P41" s="60">
        <v>0.2</v>
      </c>
    </row>
    <row r="42" spans="5:16" ht="12.75">
      <c r="E42" s="12"/>
      <c r="F42" s="12"/>
      <c r="G42" s="44"/>
      <c r="H42" s="13"/>
      <c r="I42" s="13"/>
      <c r="M42" s="92" t="s">
        <v>34</v>
      </c>
      <c r="N42" s="93" t="s">
        <v>183</v>
      </c>
      <c r="O42" s="60">
        <v>0.2</v>
      </c>
      <c r="P42" s="60">
        <v>0.2</v>
      </c>
    </row>
    <row r="43" spans="1:16" ht="12.75">
      <c r="A43" s="8" t="s">
        <v>164</v>
      </c>
      <c r="G43" s="54"/>
      <c r="H43" s="13"/>
      <c r="I43" s="13"/>
      <c r="M43" s="92" t="s">
        <v>35</v>
      </c>
      <c r="N43" s="93" t="s">
        <v>184</v>
      </c>
      <c r="O43" s="60">
        <v>0.2</v>
      </c>
      <c r="P43" s="60">
        <v>0.2</v>
      </c>
    </row>
    <row r="44" spans="7:16" ht="12.75">
      <c r="G44" s="44"/>
      <c r="H44" s="13"/>
      <c r="I44" s="13"/>
      <c r="M44" s="92" t="s">
        <v>36</v>
      </c>
      <c r="N44" s="93" t="s">
        <v>187</v>
      </c>
      <c r="O44" s="60">
        <v>0.2</v>
      </c>
      <c r="P44" s="60">
        <v>0.2</v>
      </c>
    </row>
    <row r="45" spans="1:16" ht="12.75">
      <c r="A45" s="28">
        <v>1</v>
      </c>
      <c r="B45" s="28" t="s">
        <v>21</v>
      </c>
      <c r="D45" s="28">
        <v>88</v>
      </c>
      <c r="E45" s="12" t="s">
        <v>134</v>
      </c>
      <c r="F45" s="13"/>
      <c r="M45" s="92" t="s">
        <v>37</v>
      </c>
      <c r="N45" s="93" t="s">
        <v>190</v>
      </c>
      <c r="O45" s="60">
        <v>0.2</v>
      </c>
      <c r="P45" s="60">
        <v>0.2</v>
      </c>
    </row>
    <row r="46" spans="1:16" ht="12.75">
      <c r="A46" s="28">
        <v>2</v>
      </c>
      <c r="B46" s="28" t="s">
        <v>160</v>
      </c>
      <c r="D46" s="28">
        <v>100</v>
      </c>
      <c r="E46" s="12" t="s">
        <v>134</v>
      </c>
      <c r="F46" s="13"/>
      <c r="M46" s="92" t="s">
        <v>38</v>
      </c>
      <c r="N46" s="93" t="s">
        <v>189</v>
      </c>
      <c r="O46" s="60">
        <v>0.2</v>
      </c>
      <c r="P46" s="60">
        <v>0.2</v>
      </c>
    </row>
    <row r="47" spans="1:16" ht="12.75">
      <c r="A47" s="28">
        <v>3</v>
      </c>
      <c r="B47" s="28" t="s">
        <v>161</v>
      </c>
      <c r="D47" s="28">
        <v>200</v>
      </c>
      <c r="E47" s="12" t="s">
        <v>134</v>
      </c>
      <c r="F47" s="13"/>
      <c r="M47" s="92" t="s">
        <v>39</v>
      </c>
      <c r="N47" s="93" t="s">
        <v>188</v>
      </c>
      <c r="O47" s="60">
        <v>0.2</v>
      </c>
      <c r="P47" s="60">
        <v>0.2</v>
      </c>
    </row>
    <row r="48" spans="1:16" ht="12.75">
      <c r="A48" s="28">
        <v>4</v>
      </c>
      <c r="B48" s="28" t="s">
        <v>162</v>
      </c>
      <c r="D48" s="28">
        <v>200</v>
      </c>
      <c r="E48" s="12" t="s">
        <v>134</v>
      </c>
      <c r="F48" s="13"/>
      <c r="M48" s="92" t="s">
        <v>40</v>
      </c>
      <c r="N48" s="93" t="s">
        <v>191</v>
      </c>
      <c r="O48" s="60">
        <v>0.2</v>
      </c>
      <c r="P48" s="60">
        <v>0.2</v>
      </c>
    </row>
    <row r="49" spans="1:16" ht="12.75">
      <c r="A49" s="28">
        <v>5</v>
      </c>
      <c r="B49" s="28" t="s">
        <v>151</v>
      </c>
      <c r="D49" s="28">
        <v>110</v>
      </c>
      <c r="E49" s="12" t="s">
        <v>134</v>
      </c>
      <c r="F49" s="13"/>
      <c r="M49" s="92" t="s">
        <v>41</v>
      </c>
      <c r="N49" s="93" t="s">
        <v>193</v>
      </c>
      <c r="O49" s="60">
        <v>0.2</v>
      </c>
      <c r="P49" s="60">
        <v>0.2</v>
      </c>
    </row>
    <row r="50" spans="1:16" ht="12.75">
      <c r="A50" s="28">
        <v>6</v>
      </c>
      <c r="B50" s="28" t="s">
        <v>168</v>
      </c>
      <c r="D50" s="28">
        <v>110</v>
      </c>
      <c r="E50" s="12" t="s">
        <v>134</v>
      </c>
      <c r="F50" s="13"/>
      <c r="M50" s="92" t="s">
        <v>42</v>
      </c>
      <c r="N50" s="93" t="s">
        <v>194</v>
      </c>
      <c r="O50" s="60">
        <v>0.2</v>
      </c>
      <c r="P50" s="60">
        <v>0.2</v>
      </c>
    </row>
    <row r="51" spans="6:16" ht="12.75">
      <c r="F51" s="13"/>
      <c r="M51" s="92" t="s">
        <v>43</v>
      </c>
      <c r="N51" s="93" t="s">
        <v>197</v>
      </c>
      <c r="O51" s="60">
        <v>0.2</v>
      </c>
      <c r="P51" s="60">
        <v>0.2</v>
      </c>
    </row>
    <row r="52" spans="1:16" ht="12.75">
      <c r="A52" s="28" t="s">
        <v>152</v>
      </c>
      <c r="E52" s="101">
        <f>IF(Sezione=2,VLOOKUP(TipoImpresa,A45:D50,4,FALSE),0)</f>
        <v>0</v>
      </c>
      <c r="G52" s="44"/>
      <c r="H52" s="13"/>
      <c r="I52" s="13"/>
      <c r="M52" s="92" t="s">
        <v>296</v>
      </c>
      <c r="N52" s="93" t="s">
        <v>297</v>
      </c>
      <c r="O52" s="60">
        <v>0.2</v>
      </c>
      <c r="P52" s="60">
        <v>0.2</v>
      </c>
    </row>
    <row r="53" spans="5:16" ht="12.75">
      <c r="E53" s="12"/>
      <c r="F53" s="12"/>
      <c r="G53" s="44"/>
      <c r="H53" s="13"/>
      <c r="I53" s="13"/>
      <c r="M53" s="92" t="s">
        <v>44</v>
      </c>
      <c r="N53" s="93" t="s">
        <v>192</v>
      </c>
      <c r="O53" s="60">
        <v>0.7</v>
      </c>
      <c r="P53" s="60">
        <v>0.7</v>
      </c>
    </row>
    <row r="54" spans="1:16" ht="12.75">
      <c r="A54" s="8" t="s">
        <v>167</v>
      </c>
      <c r="E54" s="12"/>
      <c r="F54" s="12"/>
      <c r="G54" s="44"/>
      <c r="H54" s="13"/>
      <c r="I54" s="13"/>
      <c r="M54" s="92" t="s">
        <v>45</v>
      </c>
      <c r="N54" s="93" t="s">
        <v>202</v>
      </c>
      <c r="O54" s="60">
        <v>0.2</v>
      </c>
      <c r="P54" s="60">
        <v>0.2</v>
      </c>
    </row>
    <row r="55" spans="5:16" ht="12.75">
      <c r="E55" s="101">
        <f>IF(Sezione=3,30,0)</f>
        <v>0</v>
      </c>
      <c r="F55" s="12"/>
      <c r="G55" s="44"/>
      <c r="H55" s="13"/>
      <c r="I55" s="13"/>
      <c r="M55" s="92" t="s">
        <v>46</v>
      </c>
      <c r="N55" s="93" t="s">
        <v>198</v>
      </c>
      <c r="O55" s="60">
        <v>0.2</v>
      </c>
      <c r="P55" s="60">
        <v>0.2</v>
      </c>
    </row>
    <row r="56" spans="5:16" ht="12.75">
      <c r="E56" s="12"/>
      <c r="F56" s="12"/>
      <c r="G56" s="44"/>
      <c r="H56" s="13"/>
      <c r="I56" s="13"/>
      <c r="M56" s="92" t="s">
        <v>44</v>
      </c>
      <c r="N56" s="93" t="s">
        <v>298</v>
      </c>
      <c r="O56" s="60">
        <v>0.2</v>
      </c>
      <c r="P56" s="60">
        <v>0.2</v>
      </c>
    </row>
    <row r="57" spans="5:16" ht="12.75">
      <c r="E57" s="12"/>
      <c r="F57" s="12"/>
      <c r="G57" s="44"/>
      <c r="H57" s="13"/>
      <c r="I57" s="13"/>
      <c r="M57" s="92" t="s">
        <v>47</v>
      </c>
      <c r="N57" s="93" t="s">
        <v>200</v>
      </c>
      <c r="O57" s="60">
        <v>0.2</v>
      </c>
      <c r="P57" s="60">
        <v>0.2</v>
      </c>
    </row>
    <row r="58" spans="5:16" ht="12.75">
      <c r="E58" s="12"/>
      <c r="F58" s="12"/>
      <c r="G58" s="44"/>
      <c r="H58" s="13"/>
      <c r="I58" s="13"/>
      <c r="M58" s="92" t="s">
        <v>48</v>
      </c>
      <c r="N58" s="93" t="s">
        <v>199</v>
      </c>
      <c r="O58" s="60">
        <v>0.2</v>
      </c>
      <c r="P58" s="60">
        <v>0.2</v>
      </c>
    </row>
    <row r="59" spans="5:16" ht="12.75">
      <c r="E59" s="12"/>
      <c r="F59" s="12"/>
      <c r="G59" s="43"/>
      <c r="M59" s="92" t="s">
        <v>49</v>
      </c>
      <c r="N59" s="93" t="s">
        <v>195</v>
      </c>
      <c r="O59" s="60">
        <v>0.7</v>
      </c>
      <c r="P59" s="60">
        <v>0.7</v>
      </c>
    </row>
    <row r="60" spans="1:16" ht="12.75">
      <c r="A60" s="14" t="s">
        <v>150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92" t="s">
        <v>50</v>
      </c>
      <c r="N60" s="93" t="s">
        <v>196</v>
      </c>
      <c r="O60" s="60">
        <v>0.2</v>
      </c>
      <c r="P60" s="60">
        <v>0.2</v>
      </c>
    </row>
    <row r="61" spans="13:16" ht="12.75">
      <c r="M61" s="92" t="s">
        <v>311</v>
      </c>
      <c r="N61" s="93" t="s">
        <v>312</v>
      </c>
      <c r="O61" s="60">
        <v>0.2</v>
      </c>
      <c r="P61" s="60">
        <v>0.2</v>
      </c>
    </row>
    <row r="62" spans="1:16" ht="12.75">
      <c r="A62" s="12" t="s">
        <v>134</v>
      </c>
      <c r="E62" s="44">
        <f>dirittoSede_dec_sezOrd+dirittoSede_dec_sezSpec+dirittoSede_dec_REA</f>
        <v>200</v>
      </c>
      <c r="M62" s="92" t="s">
        <v>51</v>
      </c>
      <c r="N62" s="93" t="s">
        <v>203</v>
      </c>
      <c r="O62" s="60">
        <v>0.7</v>
      </c>
      <c r="P62" s="60">
        <v>0.7</v>
      </c>
    </row>
    <row r="63" spans="1:16" ht="12.75">
      <c r="A63" s="12" t="s">
        <v>135</v>
      </c>
      <c r="E63" s="44">
        <f>AliqMaggiorazione*E62</f>
        <v>40</v>
      </c>
      <c r="F63" s="12"/>
      <c r="M63" s="92" t="s">
        <v>303</v>
      </c>
      <c r="N63" s="93" t="s">
        <v>304</v>
      </c>
      <c r="O63" s="60">
        <v>0.7</v>
      </c>
      <c r="P63" s="60">
        <v>0.7</v>
      </c>
    </row>
    <row r="64" spans="1:16" ht="12.75">
      <c r="A64" s="12" t="s">
        <v>136</v>
      </c>
      <c r="E64" s="44">
        <f>TRUNC(SUM(E62:E63),5)</f>
        <v>240</v>
      </c>
      <c r="F64" s="12"/>
      <c r="M64" s="92" t="s">
        <v>52</v>
      </c>
      <c r="N64" s="93" t="s">
        <v>208</v>
      </c>
      <c r="O64" s="60">
        <v>0.2</v>
      </c>
      <c r="P64" s="60">
        <v>0.2</v>
      </c>
    </row>
    <row r="65" spans="1:16" ht="14.25">
      <c r="A65" s="28" t="s">
        <v>15</v>
      </c>
      <c r="E65" s="42">
        <f>ROUND(E64,2)</f>
        <v>240</v>
      </c>
      <c r="H65" s="15"/>
      <c r="I65" s="15"/>
      <c r="M65" s="92" t="s">
        <v>53</v>
      </c>
      <c r="N65" s="94" t="s">
        <v>204</v>
      </c>
      <c r="O65" s="60">
        <v>0.2</v>
      </c>
      <c r="P65" s="60">
        <v>0.2</v>
      </c>
    </row>
    <row r="66" spans="1:16" ht="12.75">
      <c r="A66" s="28" t="s">
        <v>16</v>
      </c>
      <c r="E66" s="66">
        <f>ROUND(E65*0.5,0)</f>
        <v>120</v>
      </c>
      <c r="F66" s="34"/>
      <c r="G66" s="46"/>
      <c r="M66" s="92" t="s">
        <v>54</v>
      </c>
      <c r="N66" s="93" t="s">
        <v>206</v>
      </c>
      <c r="O66" s="60">
        <v>0.2</v>
      </c>
      <c r="P66" s="60">
        <v>0.2</v>
      </c>
    </row>
    <row r="67" spans="13:16" ht="12.75">
      <c r="M67" s="92" t="s">
        <v>55</v>
      </c>
      <c r="N67" s="93" t="s">
        <v>205</v>
      </c>
      <c r="O67" s="60">
        <v>0.2</v>
      </c>
      <c r="P67" s="60">
        <v>0.2</v>
      </c>
    </row>
    <row r="68" spans="1:16" ht="12.75">
      <c r="A68" s="14" t="str">
        <f>"Calcolo del diritto annuo con sede + unità locali nella provincia (già iscritte al 31.12."&amp;(anno-1)&amp;")"</f>
        <v>Calcolo del diritto annuo con sede + unità locali nella provincia (già iscritte al 31.12.2023)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92" t="s">
        <v>169</v>
      </c>
      <c r="N68" s="93" t="s">
        <v>207</v>
      </c>
      <c r="O68" s="60">
        <v>0.2</v>
      </c>
      <c r="P68" s="60">
        <v>0.2</v>
      </c>
    </row>
    <row r="69" spans="13:16" ht="12.75">
      <c r="M69" s="92" t="s">
        <v>56</v>
      </c>
      <c r="N69" s="93" t="s">
        <v>208</v>
      </c>
      <c r="O69" s="60">
        <v>0.2</v>
      </c>
      <c r="P69" s="60">
        <v>0.2</v>
      </c>
    </row>
    <row r="70" spans="13:16" ht="18" customHeight="1">
      <c r="M70" s="92" t="s">
        <v>57</v>
      </c>
      <c r="N70" s="93" t="s">
        <v>209</v>
      </c>
      <c r="O70" s="60">
        <v>0.2</v>
      </c>
      <c r="P70" s="60">
        <v>0.2</v>
      </c>
    </row>
    <row r="71" spans="13:16" ht="12.75">
      <c r="M71" s="92" t="s">
        <v>58</v>
      </c>
      <c r="N71" s="93" t="s">
        <v>210</v>
      </c>
      <c r="O71" s="60">
        <v>0.2</v>
      </c>
      <c r="P71" s="60">
        <v>0.2</v>
      </c>
    </row>
    <row r="72" spans="1:16" ht="12.75">
      <c r="A72" s="12" t="s">
        <v>144</v>
      </c>
      <c r="B72" s="28" t="s">
        <v>143</v>
      </c>
      <c r="E72" s="47">
        <f>E62</f>
        <v>200</v>
      </c>
      <c r="M72" s="92" t="s">
        <v>59</v>
      </c>
      <c r="N72" s="93" t="s">
        <v>211</v>
      </c>
      <c r="O72" s="60">
        <v>0.2</v>
      </c>
      <c r="P72" s="60">
        <v>0.2</v>
      </c>
    </row>
    <row r="73" spans="1:16" ht="12.75">
      <c r="A73" s="12" t="s">
        <v>145</v>
      </c>
      <c r="B73" s="28" t="s">
        <v>142</v>
      </c>
      <c r="E73" s="47">
        <f>IF(Sezione=1,MIN(200,E72*20%),IF(Sezione=2,IF(TipoImpresa&gt;4,E72,MIN(200,E72*20%)),0))</f>
        <v>40</v>
      </c>
      <c r="M73" s="92" t="s">
        <v>60</v>
      </c>
      <c r="N73" s="93" t="s">
        <v>212</v>
      </c>
      <c r="O73" s="60">
        <v>0.2</v>
      </c>
      <c r="P73" s="60">
        <v>0.2</v>
      </c>
    </row>
    <row r="74" spans="1:16" ht="12.75">
      <c r="A74" s="12" t="s">
        <v>141</v>
      </c>
      <c r="B74" s="28" t="str">
        <f>"Importo per n. "&amp;NumeroUL&amp;" unità locali"</f>
        <v>Importo per n. 0 unità locali</v>
      </c>
      <c r="E74" s="47">
        <f>importoUL_decimali*NumeroUL</f>
        <v>0</v>
      </c>
      <c r="M74" s="92" t="s">
        <v>299</v>
      </c>
      <c r="N74" s="93" t="s">
        <v>300</v>
      </c>
      <c r="O74" s="60">
        <v>0.2</v>
      </c>
      <c r="P74" s="60">
        <v>0.2</v>
      </c>
    </row>
    <row r="75" spans="1:16" ht="12.75">
      <c r="A75" s="12" t="s">
        <v>146</v>
      </c>
      <c r="B75" s="12"/>
      <c r="E75" s="47">
        <f>SUM(E72+E74)</f>
        <v>200</v>
      </c>
      <c r="M75" s="92" t="s">
        <v>61</v>
      </c>
      <c r="N75" s="93" t="s">
        <v>201</v>
      </c>
      <c r="O75" s="60">
        <v>0.2</v>
      </c>
      <c r="P75" s="60">
        <v>0.2</v>
      </c>
    </row>
    <row r="76" spans="1:16" ht="12.75">
      <c r="A76" s="12" t="s">
        <v>147</v>
      </c>
      <c r="B76" s="12"/>
      <c r="E76" s="47">
        <f>E75*AliqMaggiorazione</f>
        <v>40</v>
      </c>
      <c r="M76" s="92" t="s">
        <v>62</v>
      </c>
      <c r="N76" s="93" t="s">
        <v>213</v>
      </c>
      <c r="O76" s="60">
        <v>0.2</v>
      </c>
      <c r="P76" s="60">
        <v>0.2</v>
      </c>
    </row>
    <row r="77" spans="1:16" ht="12.75">
      <c r="A77" s="12" t="s">
        <v>148</v>
      </c>
      <c r="B77" s="12"/>
      <c r="E77" s="47">
        <f>SUM(E75+E76)</f>
        <v>240</v>
      </c>
      <c r="F77" s="12"/>
      <c r="M77" s="92" t="s">
        <v>63</v>
      </c>
      <c r="N77" s="93" t="s">
        <v>214</v>
      </c>
      <c r="O77" s="60">
        <v>0.2</v>
      </c>
      <c r="P77" s="60">
        <v>0.2</v>
      </c>
    </row>
    <row r="78" spans="1:16" ht="17.25">
      <c r="A78" s="62" t="s">
        <v>287</v>
      </c>
      <c r="B78" s="62"/>
      <c r="C78" s="63"/>
      <c r="D78" s="63"/>
      <c r="E78" s="61">
        <f>E77*0.5</f>
        <v>120</v>
      </c>
      <c r="F78" s="12"/>
      <c r="M78" s="92" t="s">
        <v>301</v>
      </c>
      <c r="N78" s="93" t="s">
        <v>302</v>
      </c>
      <c r="O78" s="60">
        <v>0.2</v>
      </c>
      <c r="P78" s="60">
        <v>0.2</v>
      </c>
    </row>
    <row r="79" spans="1:16" ht="12.75">
      <c r="A79" s="28" t="s">
        <v>15</v>
      </c>
      <c r="E79" s="43">
        <f>ROUND(E78,2)</f>
        <v>120</v>
      </c>
      <c r="H79" s="15"/>
      <c r="I79" s="15"/>
      <c r="M79" s="92" t="s">
        <v>64</v>
      </c>
      <c r="N79" s="93" t="s">
        <v>219</v>
      </c>
      <c r="O79" s="60">
        <v>0.2</v>
      </c>
      <c r="P79" s="60">
        <v>0.2</v>
      </c>
    </row>
    <row r="80" spans="1:16" ht="12.75">
      <c r="A80" s="28" t="s">
        <v>149</v>
      </c>
      <c r="E80" s="64">
        <f>ROUND(E79,0)</f>
        <v>120</v>
      </c>
      <c r="H80" s="15"/>
      <c r="I80" s="15"/>
      <c r="M80" s="92" t="s">
        <v>65</v>
      </c>
      <c r="N80" s="93" t="s">
        <v>218</v>
      </c>
      <c r="O80" s="60">
        <v>0.2</v>
      </c>
      <c r="P80" s="60">
        <v>0.2</v>
      </c>
    </row>
    <row r="81" spans="5:16" ht="12.75">
      <c r="E81" s="48"/>
      <c r="M81" s="92" t="s">
        <v>66</v>
      </c>
      <c r="N81" s="93" t="s">
        <v>220</v>
      </c>
      <c r="O81" s="60">
        <v>0.2</v>
      </c>
      <c r="P81" s="60">
        <v>0.2</v>
      </c>
    </row>
    <row r="82" spans="1:16" ht="12.75">
      <c r="A82" s="14" t="str">
        <f>"Calcolo dell'importo dovuto per unità locali fuori provincia (già iscritte al 31.12."&amp;(anno-1)&amp;"):"</f>
        <v>Calcolo dell'importo dovuto per unità locali fuori provincia (già iscritte al 31.12.2023):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92" t="s">
        <v>67</v>
      </c>
      <c r="N82" s="93" t="s">
        <v>221</v>
      </c>
      <c r="O82" s="60">
        <v>0.2</v>
      </c>
      <c r="P82" s="60">
        <v>0.2</v>
      </c>
    </row>
    <row r="83" spans="13:16" ht="13.5" thickBot="1">
      <c r="M83" s="92" t="s">
        <v>68</v>
      </c>
      <c r="N83" s="93" t="s">
        <v>217</v>
      </c>
      <c r="O83" s="60">
        <v>0.2</v>
      </c>
      <c r="P83" s="60">
        <v>0.2</v>
      </c>
    </row>
    <row r="84" spans="2:16" ht="66">
      <c r="B84" s="79" t="s">
        <v>17</v>
      </c>
      <c r="C84" s="16" t="s">
        <v>18</v>
      </c>
      <c r="D84" s="16" t="s">
        <v>19</v>
      </c>
      <c r="E84" s="16" t="s">
        <v>282</v>
      </c>
      <c r="F84" s="16" t="s">
        <v>281</v>
      </c>
      <c r="G84" s="17" t="s">
        <v>280</v>
      </c>
      <c r="H84" s="16" t="str">
        <f>"Importo "&amp;(anno)&amp;CHAR(10)&amp;"(2014 ridotto del 50% + mag-giorazione)"</f>
        <v>Importo 2024
(2014 ridotto del 50% + mag-giorazione)</v>
      </c>
      <c r="I84" s="16" t="s">
        <v>20</v>
      </c>
      <c r="J84" s="106" t="s">
        <v>172</v>
      </c>
      <c r="K84" s="106"/>
      <c r="L84" s="107"/>
      <c r="M84" s="92" t="s">
        <v>69</v>
      </c>
      <c r="N84" s="93" t="s">
        <v>222</v>
      </c>
      <c r="O84" s="60">
        <v>0.2</v>
      </c>
      <c r="P84" s="60">
        <v>0.2</v>
      </c>
    </row>
    <row r="85" spans="2:16" ht="26.25">
      <c r="B85" s="71" t="s">
        <v>283</v>
      </c>
      <c r="C85" s="18"/>
      <c r="D85" s="72" t="s">
        <v>283</v>
      </c>
      <c r="E85" s="18"/>
      <c r="F85" s="18"/>
      <c r="G85" s="19"/>
      <c r="H85" s="18"/>
      <c r="I85" s="18"/>
      <c r="J85" s="77" t="s">
        <v>128</v>
      </c>
      <c r="K85" s="77" t="s">
        <v>129</v>
      </c>
      <c r="L85" s="78" t="s">
        <v>130</v>
      </c>
      <c r="M85" s="92" t="s">
        <v>306</v>
      </c>
      <c r="N85" s="93" t="s">
        <v>295</v>
      </c>
      <c r="O85" s="60">
        <v>0.2</v>
      </c>
      <c r="P85" s="60">
        <v>0.2</v>
      </c>
    </row>
    <row r="86" spans="2:16" ht="12.75">
      <c r="B86" s="90"/>
      <c r="C86" s="80">
        <f aca="true" t="shared" si="2" ref="C86:C98">IF(B86&lt;&gt;"",VLOOKUP(B86,tb_maggiorazioni,3,FALSE),0)</f>
        <v>0</v>
      </c>
      <c r="D86" s="82"/>
      <c r="E86" s="49">
        <f aca="true" t="shared" si="3" ref="E86:E98">ROUND(IF(AND(B86&lt;&gt;"",D86&gt;0),importoUL_decimali,0),5)</f>
        <v>0</v>
      </c>
      <c r="F86" s="49">
        <f>ROUND(E86*D86,5)</f>
        <v>0</v>
      </c>
      <c r="G86" s="49">
        <f>ROUND(F86*(1+C86),5)</f>
        <v>0</v>
      </c>
      <c r="H86" s="49">
        <f>ROUND(G86*0.5,5)</f>
        <v>0</v>
      </c>
      <c r="I86" s="50">
        <f aca="true" t="shared" si="4" ref="I86:I98">ROUND(H86,2)</f>
        <v>0</v>
      </c>
      <c r="J86" s="73">
        <f>IF(ISTEXT(B86),UPPER(B86),"")</f>
      </c>
      <c r="K86" s="73">
        <v>3850</v>
      </c>
      <c r="L86" s="74">
        <f>ROUND(I86,0)</f>
        <v>0</v>
      </c>
      <c r="M86" s="92" t="s">
        <v>70</v>
      </c>
      <c r="N86" s="93" t="s">
        <v>223</v>
      </c>
      <c r="O86" s="60">
        <v>0.2</v>
      </c>
      <c r="P86" s="60">
        <v>0.2</v>
      </c>
    </row>
    <row r="87" spans="2:16" ht="12.75">
      <c r="B87" s="90"/>
      <c r="C87" s="80">
        <f t="shared" si="2"/>
        <v>0</v>
      </c>
      <c r="D87" s="82"/>
      <c r="E87" s="49">
        <f t="shared" si="3"/>
        <v>0</v>
      </c>
      <c r="F87" s="49">
        <f aca="true" t="shared" si="5" ref="F87:F98">ROUND(E87*D87,5)</f>
        <v>0</v>
      </c>
      <c r="G87" s="49">
        <f aca="true" t="shared" si="6" ref="G87:G98">ROUND(F87*(1+C87),5)</f>
        <v>0</v>
      </c>
      <c r="H87" s="49">
        <f aca="true" t="shared" si="7" ref="H87:H97">ROUND(G87*0.5,5)</f>
        <v>0</v>
      </c>
      <c r="I87" s="50">
        <f t="shared" si="4"/>
        <v>0</v>
      </c>
      <c r="J87" s="73">
        <f aca="true" t="shared" si="8" ref="J87:J98">IF(ISTEXT(B87),UPPER(B87),"")</f>
      </c>
      <c r="K87" s="73">
        <v>3850</v>
      </c>
      <c r="L87" s="74">
        <f aca="true" t="shared" si="9" ref="L87:L97">ROUND(I87,0)</f>
        <v>0</v>
      </c>
      <c r="M87" s="92" t="s">
        <v>71</v>
      </c>
      <c r="N87" s="93" t="s">
        <v>224</v>
      </c>
      <c r="O87" s="60">
        <v>0.2</v>
      </c>
      <c r="P87" s="60">
        <v>0.2</v>
      </c>
    </row>
    <row r="88" spans="2:16" ht="12.75">
      <c r="B88" s="90"/>
      <c r="C88" s="80">
        <f t="shared" si="2"/>
        <v>0</v>
      </c>
      <c r="D88" s="82"/>
      <c r="E88" s="49">
        <f t="shared" si="3"/>
        <v>0</v>
      </c>
      <c r="F88" s="49">
        <f t="shared" si="5"/>
        <v>0</v>
      </c>
      <c r="G88" s="49">
        <f t="shared" si="6"/>
        <v>0</v>
      </c>
      <c r="H88" s="49">
        <f t="shared" si="7"/>
        <v>0</v>
      </c>
      <c r="I88" s="50">
        <f t="shared" si="4"/>
        <v>0</v>
      </c>
      <c r="J88" s="73">
        <f t="shared" si="8"/>
      </c>
      <c r="K88" s="73">
        <v>3850</v>
      </c>
      <c r="L88" s="74">
        <f t="shared" si="9"/>
        <v>0</v>
      </c>
      <c r="M88" s="92" t="s">
        <v>72</v>
      </c>
      <c r="N88" s="93" t="s">
        <v>228</v>
      </c>
      <c r="O88" s="60">
        <v>0.7</v>
      </c>
      <c r="P88" s="60">
        <v>0.7</v>
      </c>
    </row>
    <row r="89" spans="2:16" ht="12.75">
      <c r="B89" s="90"/>
      <c r="C89" s="80">
        <f t="shared" si="2"/>
        <v>0</v>
      </c>
      <c r="D89" s="82"/>
      <c r="E89" s="49">
        <f t="shared" si="3"/>
        <v>0</v>
      </c>
      <c r="F89" s="49">
        <f t="shared" si="5"/>
        <v>0</v>
      </c>
      <c r="G89" s="49">
        <f t="shared" si="6"/>
        <v>0</v>
      </c>
      <c r="H89" s="49">
        <f t="shared" si="7"/>
        <v>0</v>
      </c>
      <c r="I89" s="50">
        <f t="shared" si="4"/>
        <v>0</v>
      </c>
      <c r="J89" s="73">
        <f t="shared" si="8"/>
      </c>
      <c r="K89" s="73">
        <v>3850</v>
      </c>
      <c r="L89" s="74">
        <f t="shared" si="9"/>
        <v>0</v>
      </c>
      <c r="M89" s="92" t="s">
        <v>73</v>
      </c>
      <c r="N89" s="93" t="s">
        <v>229</v>
      </c>
      <c r="O89" s="60">
        <v>0.2</v>
      </c>
      <c r="P89" s="60">
        <v>0.2</v>
      </c>
    </row>
    <row r="90" spans="2:16" ht="12.75">
      <c r="B90" s="70"/>
      <c r="C90" s="80">
        <f t="shared" si="2"/>
        <v>0</v>
      </c>
      <c r="D90" s="82"/>
      <c r="E90" s="49">
        <f t="shared" si="3"/>
        <v>0</v>
      </c>
      <c r="F90" s="49">
        <f t="shared" si="5"/>
        <v>0</v>
      </c>
      <c r="G90" s="49">
        <f t="shared" si="6"/>
        <v>0</v>
      </c>
      <c r="H90" s="49">
        <f t="shared" si="7"/>
        <v>0</v>
      </c>
      <c r="I90" s="50">
        <f t="shared" si="4"/>
        <v>0</v>
      </c>
      <c r="J90" s="73">
        <f t="shared" si="8"/>
      </c>
      <c r="K90" s="73">
        <v>3850</v>
      </c>
      <c r="L90" s="74">
        <f t="shared" si="9"/>
        <v>0</v>
      </c>
      <c r="M90" s="92" t="s">
        <v>74</v>
      </c>
      <c r="N90" s="93" t="s">
        <v>225</v>
      </c>
      <c r="O90" s="60">
        <v>0.2</v>
      </c>
      <c r="P90" s="60">
        <v>0.2</v>
      </c>
    </row>
    <row r="91" spans="2:16" ht="12.75">
      <c r="B91" s="70"/>
      <c r="C91" s="80">
        <f t="shared" si="2"/>
        <v>0</v>
      </c>
      <c r="D91" s="82"/>
      <c r="E91" s="49">
        <f t="shared" si="3"/>
        <v>0</v>
      </c>
      <c r="F91" s="49">
        <f t="shared" si="5"/>
        <v>0</v>
      </c>
      <c r="G91" s="49">
        <f t="shared" si="6"/>
        <v>0</v>
      </c>
      <c r="H91" s="49">
        <f t="shared" si="7"/>
        <v>0</v>
      </c>
      <c r="I91" s="50">
        <f t="shared" si="4"/>
        <v>0</v>
      </c>
      <c r="J91" s="73">
        <f t="shared" si="8"/>
      </c>
      <c r="K91" s="73">
        <v>3850</v>
      </c>
      <c r="L91" s="74">
        <f t="shared" si="9"/>
        <v>0</v>
      </c>
      <c r="M91" s="92" t="s">
        <v>75</v>
      </c>
      <c r="N91" s="93" t="s">
        <v>230</v>
      </c>
      <c r="O91" s="60">
        <v>0.2</v>
      </c>
      <c r="P91" s="60">
        <v>0.2</v>
      </c>
    </row>
    <row r="92" spans="2:16" ht="12.75">
      <c r="B92" s="70"/>
      <c r="C92" s="80">
        <f t="shared" si="2"/>
        <v>0</v>
      </c>
      <c r="D92" s="82"/>
      <c r="E92" s="49">
        <f t="shared" si="3"/>
        <v>0</v>
      </c>
      <c r="F92" s="49">
        <f t="shared" si="5"/>
        <v>0</v>
      </c>
      <c r="G92" s="49">
        <f t="shared" si="6"/>
        <v>0</v>
      </c>
      <c r="H92" s="49">
        <f t="shared" si="7"/>
        <v>0</v>
      </c>
      <c r="I92" s="50">
        <f t="shared" si="4"/>
        <v>0</v>
      </c>
      <c r="J92" s="73">
        <f t="shared" si="8"/>
      </c>
      <c r="K92" s="73">
        <v>3850</v>
      </c>
      <c r="L92" s="74">
        <f t="shared" si="9"/>
        <v>0</v>
      </c>
      <c r="M92" s="92" t="s">
        <v>76</v>
      </c>
      <c r="N92" s="93" t="s">
        <v>226</v>
      </c>
      <c r="O92" s="60">
        <v>0.2</v>
      </c>
      <c r="P92" s="60">
        <v>0.2</v>
      </c>
    </row>
    <row r="93" spans="2:16" ht="12.75">
      <c r="B93" s="70"/>
      <c r="C93" s="80">
        <f t="shared" si="2"/>
        <v>0</v>
      </c>
      <c r="D93" s="82"/>
      <c r="E93" s="49">
        <f t="shared" si="3"/>
        <v>0</v>
      </c>
      <c r="F93" s="49">
        <f t="shared" si="5"/>
        <v>0</v>
      </c>
      <c r="G93" s="49">
        <f t="shared" si="6"/>
        <v>0</v>
      </c>
      <c r="H93" s="49">
        <f t="shared" si="7"/>
        <v>0</v>
      </c>
      <c r="I93" s="50">
        <f t="shared" si="4"/>
        <v>0</v>
      </c>
      <c r="J93" s="73">
        <f t="shared" si="8"/>
      </c>
      <c r="K93" s="73">
        <v>3850</v>
      </c>
      <c r="L93" s="74">
        <f t="shared" si="9"/>
        <v>0</v>
      </c>
      <c r="M93" s="92" t="s">
        <v>77</v>
      </c>
      <c r="N93" s="93" t="s">
        <v>227</v>
      </c>
      <c r="O93" s="60">
        <v>0.2</v>
      </c>
      <c r="P93" s="60">
        <v>0.2</v>
      </c>
    </row>
    <row r="94" spans="2:16" ht="12.75">
      <c r="B94" s="70"/>
      <c r="C94" s="80">
        <f t="shared" si="2"/>
        <v>0</v>
      </c>
      <c r="D94" s="82"/>
      <c r="E94" s="49">
        <f t="shared" si="3"/>
        <v>0</v>
      </c>
      <c r="F94" s="49">
        <f t="shared" si="5"/>
        <v>0</v>
      </c>
      <c r="G94" s="49">
        <f t="shared" si="6"/>
        <v>0</v>
      </c>
      <c r="H94" s="49">
        <f t="shared" si="7"/>
        <v>0</v>
      </c>
      <c r="I94" s="50">
        <f t="shared" si="4"/>
        <v>0</v>
      </c>
      <c r="J94" s="73">
        <f t="shared" si="8"/>
      </c>
      <c r="K94" s="73">
        <v>3850</v>
      </c>
      <c r="L94" s="74">
        <f t="shared" si="9"/>
        <v>0</v>
      </c>
      <c r="M94" s="92" t="s">
        <v>305</v>
      </c>
      <c r="N94" s="93" t="s">
        <v>294</v>
      </c>
      <c r="O94" s="60">
        <v>0.2</v>
      </c>
      <c r="P94" s="60">
        <v>0.2</v>
      </c>
    </row>
    <row r="95" spans="2:16" ht="12.75">
      <c r="B95" s="70"/>
      <c r="C95" s="80">
        <f t="shared" si="2"/>
        <v>0</v>
      </c>
      <c r="D95" s="82"/>
      <c r="E95" s="49">
        <f t="shared" si="3"/>
        <v>0</v>
      </c>
      <c r="F95" s="49">
        <f t="shared" si="5"/>
        <v>0</v>
      </c>
      <c r="G95" s="49">
        <f t="shared" si="6"/>
        <v>0</v>
      </c>
      <c r="H95" s="49">
        <f t="shared" si="7"/>
        <v>0</v>
      </c>
      <c r="I95" s="50">
        <f t="shared" si="4"/>
        <v>0</v>
      </c>
      <c r="J95" s="73">
        <f t="shared" si="8"/>
      </c>
      <c r="K95" s="73">
        <v>3850</v>
      </c>
      <c r="L95" s="74">
        <f t="shared" si="9"/>
        <v>0</v>
      </c>
      <c r="M95" s="92" t="s">
        <v>78</v>
      </c>
      <c r="N95" s="93" t="s">
        <v>231</v>
      </c>
      <c r="O95" s="60">
        <v>0.2</v>
      </c>
      <c r="P95" s="60">
        <v>0.2</v>
      </c>
    </row>
    <row r="96" spans="2:16" ht="12.75">
      <c r="B96" s="70"/>
      <c r="C96" s="80">
        <f t="shared" si="2"/>
        <v>0</v>
      </c>
      <c r="D96" s="82"/>
      <c r="E96" s="49">
        <f t="shared" si="3"/>
        <v>0</v>
      </c>
      <c r="F96" s="49">
        <f t="shared" si="5"/>
        <v>0</v>
      </c>
      <c r="G96" s="49">
        <f t="shared" si="6"/>
        <v>0</v>
      </c>
      <c r="H96" s="49">
        <f t="shared" si="7"/>
        <v>0</v>
      </c>
      <c r="I96" s="50">
        <f t="shared" si="4"/>
        <v>0</v>
      </c>
      <c r="J96" s="73">
        <f t="shared" si="8"/>
      </c>
      <c r="K96" s="73">
        <v>3850</v>
      </c>
      <c r="L96" s="74">
        <f t="shared" si="9"/>
        <v>0</v>
      </c>
      <c r="M96" s="92" t="s">
        <v>79</v>
      </c>
      <c r="N96" s="93" t="s">
        <v>232</v>
      </c>
      <c r="O96" s="60">
        <v>0.2</v>
      </c>
      <c r="P96" s="60">
        <v>0.2</v>
      </c>
    </row>
    <row r="97" spans="2:16" ht="12.75">
      <c r="B97" s="70"/>
      <c r="C97" s="80">
        <f t="shared" si="2"/>
        <v>0</v>
      </c>
      <c r="D97" s="82"/>
      <c r="E97" s="49">
        <f t="shared" si="3"/>
        <v>0</v>
      </c>
      <c r="F97" s="49">
        <f t="shared" si="5"/>
        <v>0</v>
      </c>
      <c r="G97" s="49">
        <f t="shared" si="6"/>
        <v>0</v>
      </c>
      <c r="H97" s="49">
        <f t="shared" si="7"/>
        <v>0</v>
      </c>
      <c r="I97" s="50">
        <f t="shared" si="4"/>
        <v>0</v>
      </c>
      <c r="J97" s="73">
        <f t="shared" si="8"/>
      </c>
      <c r="K97" s="73">
        <v>3850</v>
      </c>
      <c r="L97" s="74">
        <f t="shared" si="9"/>
        <v>0</v>
      </c>
      <c r="M97" s="92" t="s">
        <v>80</v>
      </c>
      <c r="N97" s="93" t="s">
        <v>233</v>
      </c>
      <c r="O97" s="60">
        <v>0.2</v>
      </c>
      <c r="P97" s="60">
        <v>0.2</v>
      </c>
    </row>
    <row r="98" spans="2:16" ht="13.5" thickBot="1">
      <c r="B98" s="91"/>
      <c r="C98" s="81">
        <f t="shared" si="2"/>
        <v>0</v>
      </c>
      <c r="D98" s="83"/>
      <c r="E98" s="84">
        <f t="shared" si="3"/>
        <v>0</v>
      </c>
      <c r="F98" s="84">
        <f t="shared" si="5"/>
        <v>0</v>
      </c>
      <c r="G98" s="84">
        <f t="shared" si="6"/>
        <v>0</v>
      </c>
      <c r="H98" s="84">
        <f>ROUND(G98*0.5,5)</f>
        <v>0</v>
      </c>
      <c r="I98" s="65">
        <f t="shared" si="4"/>
        <v>0</v>
      </c>
      <c r="J98" s="95">
        <f t="shared" si="8"/>
      </c>
      <c r="K98" s="75">
        <v>3850</v>
      </c>
      <c r="L98" s="76">
        <f>ROUND(I98,0)</f>
        <v>0</v>
      </c>
      <c r="M98" s="92" t="s">
        <v>81</v>
      </c>
      <c r="N98" s="93" t="s">
        <v>234</v>
      </c>
      <c r="O98" s="60">
        <v>0.2</v>
      </c>
      <c r="P98" s="60">
        <v>0.2</v>
      </c>
    </row>
    <row r="99" spans="13:16" ht="4.5" customHeight="1">
      <c r="M99" s="92" t="s">
        <v>82</v>
      </c>
      <c r="N99" s="93" t="s">
        <v>236</v>
      </c>
      <c r="O99" s="60">
        <v>0.7</v>
      </c>
      <c r="P99" s="60">
        <v>0.7</v>
      </c>
    </row>
    <row r="100" spans="13:16" ht="12.75" hidden="1">
      <c r="M100" s="92" t="s">
        <v>83</v>
      </c>
      <c r="N100" s="93" t="s">
        <v>242</v>
      </c>
      <c r="O100" s="60">
        <v>0.2</v>
      </c>
      <c r="P100" s="60">
        <v>0.2</v>
      </c>
    </row>
    <row r="101" spans="13:16" ht="12.75" hidden="1">
      <c r="M101" s="92" t="s">
        <v>84</v>
      </c>
      <c r="N101" s="93" t="s">
        <v>235</v>
      </c>
      <c r="O101" s="60">
        <v>0.2</v>
      </c>
      <c r="P101" s="60">
        <v>0.2</v>
      </c>
    </row>
    <row r="102" spans="13:16" ht="12.75" hidden="1">
      <c r="M102" s="92" t="s">
        <v>85</v>
      </c>
      <c r="N102" s="93" t="s">
        <v>241</v>
      </c>
      <c r="O102" s="60">
        <v>0.2</v>
      </c>
      <c r="P102" s="60">
        <v>0.2</v>
      </c>
    </row>
    <row r="103" spans="13:16" ht="12.75" hidden="1">
      <c r="M103" s="92" t="s">
        <v>86</v>
      </c>
      <c r="N103" s="93" t="s">
        <v>239</v>
      </c>
      <c r="O103" s="60">
        <v>0.2</v>
      </c>
      <c r="P103" s="60">
        <v>0.2</v>
      </c>
    </row>
    <row r="104" spans="13:16" ht="12.75" hidden="1">
      <c r="M104" s="92" t="s">
        <v>87</v>
      </c>
      <c r="N104" s="93" t="s">
        <v>243</v>
      </c>
      <c r="O104" s="60">
        <v>0.2</v>
      </c>
      <c r="P104" s="60">
        <v>0.2</v>
      </c>
    </row>
    <row r="105" spans="13:16" ht="12.75" hidden="1">
      <c r="M105" s="92" t="s">
        <v>88</v>
      </c>
      <c r="N105" s="93" t="s">
        <v>245</v>
      </c>
      <c r="O105" s="60">
        <v>0.2</v>
      </c>
      <c r="P105" s="60">
        <v>0.2</v>
      </c>
    </row>
    <row r="106" spans="13:16" ht="12.75" hidden="1">
      <c r="M106" s="92" t="s">
        <v>89</v>
      </c>
      <c r="N106" s="93" t="s">
        <v>247</v>
      </c>
      <c r="O106" s="60">
        <v>0.2</v>
      </c>
      <c r="P106" s="60">
        <v>0.2</v>
      </c>
    </row>
    <row r="107" spans="13:16" ht="12.75" hidden="1">
      <c r="M107" s="92" t="s">
        <v>170</v>
      </c>
      <c r="N107" s="93" t="s">
        <v>237</v>
      </c>
      <c r="O107" s="60">
        <v>0.2</v>
      </c>
      <c r="P107" s="60">
        <v>0.2</v>
      </c>
    </row>
    <row r="108" spans="13:16" ht="12.75" hidden="1">
      <c r="M108" s="92" t="s">
        <v>90</v>
      </c>
      <c r="N108" s="93" t="s">
        <v>241</v>
      </c>
      <c r="O108" s="60">
        <v>0.2</v>
      </c>
      <c r="P108" s="60">
        <v>0.2</v>
      </c>
    </row>
    <row r="109" spans="13:16" ht="12.75" hidden="1">
      <c r="M109" s="92" t="s">
        <v>91</v>
      </c>
      <c r="N109" s="93" t="s">
        <v>244</v>
      </c>
      <c r="O109" s="60">
        <v>0.2</v>
      </c>
      <c r="P109" s="60">
        <v>0.2</v>
      </c>
    </row>
    <row r="110" spans="13:16" ht="12.75" hidden="1">
      <c r="M110" s="92" t="s">
        <v>92</v>
      </c>
      <c r="N110" s="93" t="s">
        <v>240</v>
      </c>
      <c r="O110" s="60">
        <v>0.2</v>
      </c>
      <c r="P110" s="60">
        <v>0.2</v>
      </c>
    </row>
    <row r="111" spans="13:16" ht="12.75" hidden="1">
      <c r="M111" s="92" t="s">
        <v>93</v>
      </c>
      <c r="N111" s="93" t="s">
        <v>238</v>
      </c>
      <c r="O111" s="60">
        <v>0.2</v>
      </c>
      <c r="P111" s="60">
        <v>0.2</v>
      </c>
    </row>
    <row r="112" spans="13:16" ht="12.75" hidden="1">
      <c r="M112" s="92" t="s">
        <v>94</v>
      </c>
      <c r="N112" s="93" t="s">
        <v>246</v>
      </c>
      <c r="O112" s="60">
        <v>0.2</v>
      </c>
      <c r="P112" s="60">
        <v>0.2</v>
      </c>
    </row>
    <row r="113" spans="13:16" ht="12.75" hidden="1">
      <c r="M113" s="92" t="s">
        <v>95</v>
      </c>
      <c r="N113" s="93" t="s">
        <v>249</v>
      </c>
      <c r="O113" s="60">
        <v>0.2</v>
      </c>
      <c r="P113" s="60">
        <v>0.2</v>
      </c>
    </row>
    <row r="114" spans="13:16" ht="12.75" hidden="1">
      <c r="M114" s="92" t="s">
        <v>96</v>
      </c>
      <c r="N114" s="93" t="s">
        <v>250</v>
      </c>
      <c r="O114" s="60">
        <v>0.2</v>
      </c>
      <c r="P114" s="60">
        <v>0.2</v>
      </c>
    </row>
    <row r="115" spans="13:16" ht="12.75" hidden="1">
      <c r="M115" s="92" t="s">
        <v>97</v>
      </c>
      <c r="N115" s="93" t="s">
        <v>251</v>
      </c>
      <c r="O115" s="60">
        <v>0.2</v>
      </c>
      <c r="P115" s="60">
        <v>0.2</v>
      </c>
    </row>
    <row r="116" spans="13:16" ht="12.75" hidden="1">
      <c r="M116" s="92" t="s">
        <v>98</v>
      </c>
      <c r="N116" s="93" t="s">
        <v>248</v>
      </c>
      <c r="O116" s="60">
        <v>0.7</v>
      </c>
      <c r="P116" s="60">
        <v>0.7</v>
      </c>
    </row>
    <row r="117" spans="13:16" ht="12.75" hidden="1">
      <c r="M117" s="92" t="s">
        <v>99</v>
      </c>
      <c r="N117" s="93" t="s">
        <v>252</v>
      </c>
      <c r="O117" s="60">
        <v>0.2</v>
      </c>
      <c r="P117" s="60">
        <v>0.2</v>
      </c>
    </row>
    <row r="118" spans="13:16" ht="12.75" hidden="1">
      <c r="M118" s="92" t="s">
        <v>313</v>
      </c>
      <c r="N118" s="93" t="s">
        <v>316</v>
      </c>
      <c r="O118" s="60">
        <v>0.2</v>
      </c>
      <c r="P118" s="60">
        <v>0.2</v>
      </c>
    </row>
    <row r="119" spans="13:16" ht="12.75" hidden="1">
      <c r="M119" s="92" t="s">
        <v>100</v>
      </c>
      <c r="N119" s="93" t="s">
        <v>254</v>
      </c>
      <c r="O119" s="60">
        <v>0.2</v>
      </c>
      <c r="P119" s="60">
        <v>0.2</v>
      </c>
    </row>
    <row r="120" spans="13:16" ht="12.75" hidden="1">
      <c r="M120" s="92" t="s">
        <v>101</v>
      </c>
      <c r="N120" s="93" t="s">
        <v>253</v>
      </c>
      <c r="O120" s="60">
        <v>0.2</v>
      </c>
      <c r="P120" s="60">
        <v>0.2</v>
      </c>
    </row>
    <row r="121" spans="13:16" ht="12.75" hidden="1">
      <c r="M121" s="92" t="s">
        <v>102</v>
      </c>
      <c r="N121" s="93" t="s">
        <v>255</v>
      </c>
      <c r="O121" s="60">
        <v>0.2</v>
      </c>
      <c r="P121" s="60">
        <v>0.2</v>
      </c>
    </row>
    <row r="122" spans="13:16" ht="12.75" hidden="1">
      <c r="M122" s="92" t="s">
        <v>103</v>
      </c>
      <c r="N122" s="93" t="s">
        <v>256</v>
      </c>
      <c r="O122" s="60">
        <v>0.2</v>
      </c>
      <c r="P122" s="60">
        <v>0.2</v>
      </c>
    </row>
    <row r="123" spans="13:16" ht="12.75" hidden="1">
      <c r="M123" s="92" t="s">
        <v>104</v>
      </c>
      <c r="N123" s="93" t="s">
        <v>259</v>
      </c>
      <c r="O123" s="60">
        <v>0.2</v>
      </c>
      <c r="P123" s="60">
        <v>0.2</v>
      </c>
    </row>
    <row r="124" spans="13:16" ht="12.75" hidden="1">
      <c r="M124" s="92" t="s">
        <v>105</v>
      </c>
      <c r="N124" s="93" t="s">
        <v>261</v>
      </c>
      <c r="O124" s="60">
        <v>0.2</v>
      </c>
      <c r="P124" s="60">
        <v>0.2</v>
      </c>
    </row>
    <row r="125" spans="13:16" ht="12.75" hidden="1">
      <c r="M125" s="92" t="s">
        <v>314</v>
      </c>
      <c r="N125" s="93" t="s">
        <v>315</v>
      </c>
      <c r="O125" s="60">
        <v>0.2</v>
      </c>
      <c r="P125" s="60">
        <v>0.2</v>
      </c>
    </row>
    <row r="126" spans="13:16" ht="12.75" hidden="1">
      <c r="M126" s="92" t="s">
        <v>106</v>
      </c>
      <c r="N126" s="93" t="s">
        <v>215</v>
      </c>
      <c r="O126" s="60">
        <v>0.2</v>
      </c>
      <c r="P126" s="60">
        <v>0.2</v>
      </c>
    </row>
    <row r="127" spans="13:16" ht="12.75" hidden="1">
      <c r="M127" s="92" t="s">
        <v>107</v>
      </c>
      <c r="N127" s="93" t="s">
        <v>260</v>
      </c>
      <c r="O127" s="60">
        <v>0.7</v>
      </c>
      <c r="P127" s="60">
        <v>0.7</v>
      </c>
    </row>
    <row r="128" spans="13:16" ht="12.75" hidden="1">
      <c r="M128" s="92" t="s">
        <v>108</v>
      </c>
      <c r="N128" s="93" t="s">
        <v>257</v>
      </c>
      <c r="O128" s="60">
        <v>0.2</v>
      </c>
      <c r="P128" s="60">
        <v>0.2</v>
      </c>
    </row>
    <row r="129" spans="13:16" ht="12.75" hidden="1">
      <c r="M129" s="92" t="s">
        <v>109</v>
      </c>
      <c r="N129" s="93" t="s">
        <v>258</v>
      </c>
      <c r="O129" s="60">
        <v>0.2</v>
      </c>
      <c r="P129" s="60">
        <v>0.2</v>
      </c>
    </row>
    <row r="130" spans="13:16" ht="12.75" hidden="1">
      <c r="M130" s="92" t="s">
        <v>110</v>
      </c>
      <c r="N130" s="93" t="s">
        <v>262</v>
      </c>
      <c r="O130" s="60">
        <v>0.2</v>
      </c>
      <c r="P130" s="60">
        <v>0.2</v>
      </c>
    </row>
    <row r="131" spans="13:16" ht="12.75" hidden="1">
      <c r="M131" s="92" t="s">
        <v>111</v>
      </c>
      <c r="N131" s="93" t="s">
        <v>263</v>
      </c>
      <c r="O131" s="60">
        <v>0.2</v>
      </c>
      <c r="P131" s="60">
        <v>0.2</v>
      </c>
    </row>
    <row r="132" spans="13:16" ht="12.75" hidden="1">
      <c r="M132" s="92" t="s">
        <v>112</v>
      </c>
      <c r="N132" s="93" t="s">
        <v>267</v>
      </c>
      <c r="O132" s="60">
        <v>0.2</v>
      </c>
      <c r="P132" s="60">
        <v>0.2</v>
      </c>
    </row>
    <row r="133" spans="13:16" ht="12.75" hidden="1">
      <c r="M133" s="92" t="s">
        <v>113</v>
      </c>
      <c r="N133" s="93" t="s">
        <v>265</v>
      </c>
      <c r="O133" s="60">
        <v>0.2</v>
      </c>
      <c r="P133" s="60">
        <v>0.2</v>
      </c>
    </row>
    <row r="134" spans="13:16" ht="12.75" hidden="1">
      <c r="M134" s="92" t="s">
        <v>114</v>
      </c>
      <c r="N134" s="93" t="s">
        <v>266</v>
      </c>
      <c r="O134" s="60">
        <v>0.7</v>
      </c>
      <c r="P134" s="60">
        <v>0.7</v>
      </c>
    </row>
    <row r="135" spans="13:16" ht="12.75" hidden="1">
      <c r="M135" s="92" t="s">
        <v>115</v>
      </c>
      <c r="N135" s="93" t="s">
        <v>264</v>
      </c>
      <c r="O135" s="60">
        <v>0.2</v>
      </c>
      <c r="P135" s="60">
        <v>0.2</v>
      </c>
    </row>
    <row r="136" spans="13:16" ht="12.75" hidden="1">
      <c r="M136" s="92" t="s">
        <v>116</v>
      </c>
      <c r="N136" s="93" t="s">
        <v>269</v>
      </c>
      <c r="O136" s="60">
        <v>0.2</v>
      </c>
      <c r="P136" s="60">
        <v>0.2</v>
      </c>
    </row>
    <row r="137" spans="13:16" ht="12.75" hidden="1">
      <c r="M137" s="92" t="s">
        <v>117</v>
      </c>
      <c r="N137" s="93" t="s">
        <v>268</v>
      </c>
      <c r="O137" s="60">
        <v>0.2</v>
      </c>
      <c r="P137" s="60">
        <v>0.2</v>
      </c>
    </row>
    <row r="138" spans="13:16" ht="12.75" hidden="1">
      <c r="M138" s="92" t="s">
        <v>292</v>
      </c>
      <c r="N138" s="93" t="s">
        <v>293</v>
      </c>
      <c r="O138" s="60">
        <v>0.2</v>
      </c>
      <c r="P138" s="60">
        <v>0.2</v>
      </c>
    </row>
    <row r="139" spans="13:16" ht="12.75" hidden="1">
      <c r="M139" s="92" t="s">
        <v>118</v>
      </c>
      <c r="N139" s="93" t="s">
        <v>270</v>
      </c>
      <c r="O139" s="60">
        <v>0.2</v>
      </c>
      <c r="P139" s="60">
        <v>0.2</v>
      </c>
    </row>
    <row r="140" spans="13:16" ht="12.75" hidden="1">
      <c r="M140" s="92" t="s">
        <v>307</v>
      </c>
      <c r="N140" s="93" t="s">
        <v>308</v>
      </c>
      <c r="O140" s="60">
        <v>0.2</v>
      </c>
      <c r="P140" s="60">
        <v>0.2</v>
      </c>
    </row>
    <row r="141" spans="13:16" ht="12.75" hidden="1">
      <c r="M141" s="92" t="s">
        <v>119</v>
      </c>
      <c r="N141" s="93" t="s">
        <v>271</v>
      </c>
      <c r="O141" s="60">
        <v>0.2</v>
      </c>
      <c r="P141" s="60">
        <v>0.2</v>
      </c>
    </row>
    <row r="142" spans="13:16" ht="12.75" hidden="1">
      <c r="M142" s="92" t="s">
        <v>120</v>
      </c>
      <c r="N142" s="93" t="s">
        <v>273</v>
      </c>
      <c r="O142" s="60">
        <v>0.2</v>
      </c>
      <c r="P142" s="60">
        <v>0.2</v>
      </c>
    </row>
    <row r="143" spans="13:16" ht="12.75" hidden="1">
      <c r="M143" s="92" t="s">
        <v>121</v>
      </c>
      <c r="N143" s="93" t="s">
        <v>274</v>
      </c>
      <c r="O143" s="60">
        <v>0.2</v>
      </c>
      <c r="P143" s="60">
        <v>0.2</v>
      </c>
    </row>
    <row r="144" spans="13:16" ht="12.75" hidden="1">
      <c r="M144" s="92" t="s">
        <v>122</v>
      </c>
      <c r="N144" s="93" t="s">
        <v>272</v>
      </c>
      <c r="O144" s="60">
        <v>0.2</v>
      </c>
      <c r="P144" s="60">
        <v>0.2</v>
      </c>
    </row>
    <row r="145" spans="13:16" ht="12.75" hidden="1">
      <c r="M145" s="92" t="s">
        <v>309</v>
      </c>
      <c r="N145" s="93" t="s">
        <v>310</v>
      </c>
      <c r="O145" s="60">
        <v>0.2</v>
      </c>
      <c r="P145" s="60">
        <v>0.2</v>
      </c>
    </row>
    <row r="146" spans="13:16" ht="12.75" hidden="1">
      <c r="M146" s="92" t="s">
        <v>123</v>
      </c>
      <c r="N146" s="93" t="s">
        <v>277</v>
      </c>
      <c r="O146" s="60">
        <v>0.2</v>
      </c>
      <c r="P146" s="60">
        <v>0.2</v>
      </c>
    </row>
    <row r="147" spans="13:16" ht="12.75" hidden="1">
      <c r="M147" s="92" t="s">
        <v>124</v>
      </c>
      <c r="N147" s="93" t="s">
        <v>275</v>
      </c>
      <c r="O147" s="60">
        <v>0.2</v>
      </c>
      <c r="P147" s="60">
        <v>0.2</v>
      </c>
    </row>
    <row r="148" spans="13:16" ht="12.75" hidden="1">
      <c r="M148" s="92" t="s">
        <v>125</v>
      </c>
      <c r="N148" s="93" t="s">
        <v>278</v>
      </c>
      <c r="O148" s="60">
        <v>0.2</v>
      </c>
      <c r="P148" s="60">
        <v>0.2</v>
      </c>
    </row>
    <row r="149" spans="13:16" ht="12.75" hidden="1">
      <c r="M149" s="92" t="s">
        <v>126</v>
      </c>
      <c r="N149" s="93" t="s">
        <v>276</v>
      </c>
      <c r="O149" s="60">
        <v>0.2</v>
      </c>
      <c r="P149" s="60">
        <v>0.2</v>
      </c>
    </row>
  </sheetData>
  <sheetProtection password="DE60" sheet="1"/>
  <mergeCells count="6">
    <mergeCell ref="A2:L2"/>
    <mergeCell ref="A1:L1"/>
    <mergeCell ref="J84:L84"/>
    <mergeCell ref="A6:J6"/>
    <mergeCell ref="B4:L4"/>
    <mergeCell ref="B5:L5"/>
  </mergeCells>
  <dataValidations count="2">
    <dataValidation type="list" allowBlank="1" showInputMessage="1" showErrorMessage="1" sqref="B86:B98">
      <formula1>$M$28:$M$149</formula1>
    </dataValidation>
    <dataValidation errorStyle="warning" type="whole" allowBlank="1" showInputMessage="1" showErrorMessage="1" errorTitle="Attenzione, numero non ammesso" error="inserire un numero fra 0 e 200" sqref="D86:D98">
      <formula1>0</formula1>
      <formula2>200</formula2>
    </dataValidation>
  </dataValidations>
  <printOptions horizontalCentered="1"/>
  <pageMargins left="0.19652777777777777" right="0.23611111111111113" top="0.5402777777777777" bottom="0.39375" header="0.5118055555555556" footer="0.5118055555555556"/>
  <pageSetup blackAndWhite="1" fitToHeight="1" fitToWidth="1" horizontalDpi="300" verticalDpi="300" orientation="portrait" paperSize="9" scale="5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Tescaro Stefano - cvi0220</dc:creator>
  <cp:keywords/>
  <dc:description/>
  <cp:lastModifiedBy>Marcon Giulia</cp:lastModifiedBy>
  <cp:lastPrinted>2022-01-20T13:27:25Z</cp:lastPrinted>
  <dcterms:created xsi:type="dcterms:W3CDTF">2009-04-01T10:53:59Z</dcterms:created>
  <dcterms:modified xsi:type="dcterms:W3CDTF">2023-12-27T08:49:00Z</dcterms:modified>
  <cp:category/>
  <cp:version/>
  <cp:contentType/>
  <cp:contentStatus/>
</cp:coreProperties>
</file>